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ldhall Class Files\Archive\Mod 4\Production Minor 2\Website Documents\"/>
    </mc:Choice>
  </mc:AlternateContent>
  <bookViews>
    <workbookView xWindow="0" yWindow="0" windowWidth="24930" windowHeight="11715" activeTab="4"/>
  </bookViews>
  <sheets>
    <sheet name="Notes" sheetId="1" r:id="rId1"/>
    <sheet name="Budget Worksheet" sheetId="2" r:id="rId2"/>
    <sheet name="Budget Calculator" sheetId="3" r:id="rId3"/>
    <sheet name="Budget" sheetId="5" r:id="rId4"/>
    <sheet name="ROI Conservative" sheetId="4" r:id="rId5"/>
    <sheet name="ROI Stretch" sheetId="7" r:id="rId6"/>
    <sheet name="Sheet1" sheetId="6" r:id="rId7"/>
    <sheet name="Sheet2" sheetId="8" r:id="rId8"/>
  </sheets>
  <calcPr calcId="152511"/>
</workbook>
</file>

<file path=xl/calcChain.xml><?xml version="1.0" encoding="utf-8"?>
<calcChain xmlns="http://schemas.openxmlformats.org/spreadsheetml/2006/main">
  <c r="F43" i="3" l="1"/>
  <c r="E43" i="3"/>
  <c r="D43" i="3"/>
  <c r="D44" i="3" s="1"/>
  <c r="C43" i="3"/>
  <c r="C44" i="3"/>
  <c r="E44" i="3"/>
  <c r="F44" i="3"/>
  <c r="B44" i="3"/>
  <c r="B43" i="3"/>
  <c r="F41" i="3"/>
  <c r="F38" i="3"/>
  <c r="F37" i="3"/>
  <c r="F35" i="3"/>
  <c r="B27" i="4" l="1"/>
  <c r="L26" i="3" l="1"/>
  <c r="Z14" i="3"/>
  <c r="AA14" i="3"/>
  <c r="AB14" i="3"/>
  <c r="AC14" i="3"/>
  <c r="AD14" i="3"/>
  <c r="AE14" i="3"/>
  <c r="AF14" i="3"/>
  <c r="AG14" i="3"/>
  <c r="AH14" i="3"/>
  <c r="AI14" i="3"/>
  <c r="AJ14" i="3"/>
  <c r="Y14" i="3"/>
  <c r="K26" i="3" s="1"/>
  <c r="AK14" i="3" l="1"/>
  <c r="G7" i="4"/>
  <c r="H7" i="4"/>
  <c r="F7" i="4"/>
  <c r="C7" i="4"/>
  <c r="D7" i="4"/>
  <c r="B7" i="4"/>
  <c r="Y7" i="3"/>
  <c r="AK7" i="3" s="1"/>
  <c r="Z7" i="3"/>
  <c r="AA7" i="3"/>
  <c r="AB7" i="3"/>
  <c r="AC7" i="3"/>
  <c r="AD7" i="3"/>
  <c r="AE7" i="3"/>
  <c r="AF7" i="3"/>
  <c r="AG7" i="3"/>
  <c r="AH7" i="3"/>
  <c r="AI7" i="3"/>
  <c r="AJ7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B9" i="3"/>
  <c r="E41" i="3" l="1"/>
  <c r="E38" i="3"/>
  <c r="C12" i="2"/>
  <c r="D12" i="2"/>
  <c r="H10" i="4" l="1"/>
  <c r="G13" i="4"/>
  <c r="G14" i="4" s="1"/>
  <c r="F10" i="4"/>
  <c r="C14" i="2"/>
  <c r="C28" i="2"/>
  <c r="G10" i="4" l="1"/>
  <c r="F12" i="4"/>
  <c r="G12" i="4"/>
  <c r="H12" i="4"/>
  <c r="F13" i="4"/>
  <c r="H13" i="4"/>
  <c r="H14" i="4" s="1"/>
  <c r="D12" i="7"/>
  <c r="C12" i="7"/>
  <c r="D7" i="7"/>
  <c r="D10" i="7" s="1"/>
  <c r="C7" i="7"/>
  <c r="C10" i="7" s="1"/>
  <c r="B7" i="7"/>
  <c r="B13" i="7" s="1"/>
  <c r="B17" i="7" s="1"/>
  <c r="F14" i="4" l="1"/>
  <c r="F27" i="4"/>
  <c r="E17" i="7"/>
  <c r="C13" i="7"/>
  <c r="C17" i="7" s="1"/>
  <c r="B10" i="7"/>
  <c r="D13" i="7"/>
  <c r="D17" i="7" s="1"/>
  <c r="B12" i="7"/>
  <c r="C10" i="3" l="1"/>
  <c r="B30" i="2"/>
  <c r="C30" i="2" s="1"/>
  <c r="B29" i="2"/>
  <c r="C29" i="2" s="1"/>
  <c r="C16" i="2"/>
  <c r="C17" i="2"/>
  <c r="C18" i="2"/>
  <c r="C19" i="2"/>
  <c r="C20" i="2"/>
  <c r="C21" i="2"/>
  <c r="C22" i="2"/>
  <c r="C23" i="2"/>
  <c r="C24" i="2"/>
  <c r="C25" i="2"/>
  <c r="C27" i="2"/>
  <c r="C15" i="2"/>
  <c r="B31" i="2"/>
  <c r="C31" i="2" s="1"/>
  <c r="B28" i="2"/>
  <c r="L10" i="3" l="1"/>
  <c r="H10" i="3"/>
  <c r="Q10" i="3"/>
  <c r="N10" i="3"/>
  <c r="J10" i="3"/>
  <c r="F10" i="3"/>
  <c r="B10" i="3"/>
  <c r="D10" i="3"/>
  <c r="D42" i="3" s="1"/>
  <c r="R10" i="3"/>
  <c r="I10" i="3"/>
  <c r="P10" i="3"/>
  <c r="O10" i="3"/>
  <c r="G10" i="3"/>
  <c r="M10" i="3"/>
  <c r="E10" i="3"/>
  <c r="S10" i="3"/>
  <c r="K10" i="3"/>
  <c r="B42" i="3" l="1"/>
  <c r="V10" i="3"/>
  <c r="C42" i="3"/>
  <c r="B12" i="5"/>
  <c r="B11" i="5"/>
  <c r="B10" i="5"/>
  <c r="B9" i="5"/>
  <c r="B8" i="5"/>
  <c r="B7" i="5"/>
  <c r="B6" i="5"/>
  <c r="B5" i="5"/>
  <c r="B4" i="5"/>
  <c r="B4" i="2" s="1"/>
  <c r="D4" i="2" s="1"/>
  <c r="C4" i="2" s="1"/>
  <c r="M16" i="2"/>
  <c r="M17" i="2"/>
  <c r="M18" i="2"/>
  <c r="M15" i="2"/>
  <c r="B9" i="2" l="1"/>
  <c r="D9" i="2" s="1"/>
  <c r="C9" i="2" s="1"/>
  <c r="B10" i="2"/>
  <c r="D10" i="2" s="1"/>
  <c r="C10" i="2" s="1"/>
  <c r="B6" i="2"/>
  <c r="D6" i="2" s="1"/>
  <c r="C6" i="2" s="1"/>
  <c r="B7" i="2"/>
  <c r="D7" i="2" s="1"/>
  <c r="C7" i="2" s="1"/>
  <c r="B11" i="2"/>
  <c r="D11" i="2" s="1"/>
  <c r="C11" i="2" s="1"/>
  <c r="B5" i="2"/>
  <c r="D5" i="2" s="1"/>
  <c r="C5" i="2" s="1"/>
  <c r="B8" i="2"/>
  <c r="D8" i="2" s="1"/>
  <c r="C8" i="2" s="1"/>
  <c r="B26" i="2"/>
  <c r="C26" i="2" s="1"/>
  <c r="D13" i="1"/>
  <c r="C9" i="4" l="1"/>
  <c r="AE6" i="3"/>
  <c r="AF6" i="3"/>
  <c r="AH6" i="3"/>
  <c r="AA6" i="3"/>
  <c r="AJ6" i="3"/>
  <c r="AC6" i="3"/>
  <c r="AD6" i="3"/>
  <c r="AG6" i="3"/>
  <c r="Z6" i="3"/>
  <c r="AI6" i="3"/>
  <c r="AB6" i="3"/>
  <c r="Y6" i="3"/>
  <c r="AE4" i="3"/>
  <c r="AF4" i="3"/>
  <c r="AG4" i="3"/>
  <c r="AD4" i="3"/>
  <c r="Z4" i="3"/>
  <c r="AH4" i="3"/>
  <c r="AB4" i="3"/>
  <c r="AA4" i="3"/>
  <c r="AI4" i="3"/>
  <c r="AJ4" i="3"/>
  <c r="AC4" i="3"/>
  <c r="Y4" i="3"/>
  <c r="D13" i="4"/>
  <c r="D14" i="4" s="1"/>
  <c r="D11" i="4"/>
  <c r="D9" i="4"/>
  <c r="C11" i="4"/>
  <c r="B11" i="4"/>
  <c r="B9" i="4"/>
  <c r="I5" i="3"/>
  <c r="Q5" i="3"/>
  <c r="E5" i="3"/>
  <c r="N5" i="3"/>
  <c r="G5" i="3"/>
  <c r="O5" i="3"/>
  <c r="P5" i="3"/>
  <c r="J5" i="3"/>
  <c r="R5" i="3"/>
  <c r="L5" i="3"/>
  <c r="M5" i="3"/>
  <c r="B5" i="3"/>
  <c r="C5" i="3"/>
  <c r="K5" i="3"/>
  <c r="S5" i="3"/>
  <c r="D5" i="3"/>
  <c r="F5" i="3"/>
  <c r="H5" i="3"/>
  <c r="J4" i="3"/>
  <c r="R4" i="3"/>
  <c r="M4" i="3"/>
  <c r="N4" i="3"/>
  <c r="G4" i="3"/>
  <c r="Q4" i="3"/>
  <c r="C4" i="3"/>
  <c r="K4" i="3"/>
  <c r="S4" i="3"/>
  <c r="E4" i="3"/>
  <c r="O4" i="3"/>
  <c r="H4" i="3"/>
  <c r="I4" i="3"/>
  <c r="D4" i="3"/>
  <c r="L4" i="3"/>
  <c r="F4" i="3"/>
  <c r="P4" i="3"/>
  <c r="B4" i="3"/>
  <c r="F6" i="3"/>
  <c r="N6" i="3"/>
  <c r="I6" i="3"/>
  <c r="R6" i="3"/>
  <c r="C6" i="3"/>
  <c r="D6" i="3"/>
  <c r="E6" i="3"/>
  <c r="G6" i="3"/>
  <c r="O6" i="3"/>
  <c r="B6" i="3"/>
  <c r="S6" i="3"/>
  <c r="H6" i="3"/>
  <c r="P6" i="3"/>
  <c r="Q6" i="3"/>
  <c r="J6" i="3"/>
  <c r="K6" i="3"/>
  <c r="L6" i="3"/>
  <c r="M6" i="3"/>
  <c r="D7" i="3"/>
  <c r="L7" i="3"/>
  <c r="B7" i="3"/>
  <c r="E7" i="3"/>
  <c r="M7" i="3"/>
  <c r="F7" i="3"/>
  <c r="N7" i="3"/>
  <c r="I7" i="3"/>
  <c r="R7" i="3"/>
  <c r="K7" i="3"/>
  <c r="G7" i="3"/>
  <c r="O7" i="3"/>
  <c r="H7" i="3"/>
  <c r="P7" i="3"/>
  <c r="Q7" i="3"/>
  <c r="J7" i="3"/>
  <c r="C7" i="3"/>
  <c r="S7" i="3"/>
  <c r="D9" i="3"/>
  <c r="L9" i="3"/>
  <c r="K9" i="3"/>
  <c r="E9" i="3"/>
  <c r="M9" i="3"/>
  <c r="F9" i="3"/>
  <c r="N9" i="3"/>
  <c r="G9" i="3"/>
  <c r="O9" i="3"/>
  <c r="C9" i="3"/>
  <c r="H9" i="3"/>
  <c r="P9" i="3"/>
  <c r="I9" i="3"/>
  <c r="Q9" i="3"/>
  <c r="J9" i="3"/>
  <c r="R9" i="3"/>
  <c r="S9" i="3"/>
  <c r="E8" i="3"/>
  <c r="M8" i="3"/>
  <c r="D8" i="3"/>
  <c r="F8" i="3"/>
  <c r="N8" i="3"/>
  <c r="G8" i="3"/>
  <c r="O8" i="3"/>
  <c r="H8" i="3"/>
  <c r="P8" i="3"/>
  <c r="B8" i="3"/>
  <c r="I8" i="3"/>
  <c r="Q8" i="3"/>
  <c r="J8" i="3"/>
  <c r="R8" i="3"/>
  <c r="C8" i="3"/>
  <c r="K8" i="3"/>
  <c r="S8" i="3"/>
  <c r="L8" i="3"/>
  <c r="C32" i="2"/>
  <c r="J25" i="3" l="1"/>
  <c r="F25" i="3"/>
  <c r="G25" i="3"/>
  <c r="H25" i="3"/>
  <c r="L25" i="3"/>
  <c r="E37" i="3"/>
  <c r="I25" i="3"/>
  <c r="E35" i="3"/>
  <c r="K25" i="3"/>
  <c r="B13" i="4"/>
  <c r="C13" i="4"/>
  <c r="Z21" i="3"/>
  <c r="AG21" i="3"/>
  <c r="AC21" i="3"/>
  <c r="AE21" i="3"/>
  <c r="Y21" i="3"/>
  <c r="AK4" i="3"/>
  <c r="AK21" i="3" s="1"/>
  <c r="AD21" i="3"/>
  <c r="AK6" i="3"/>
  <c r="AJ21" i="3"/>
  <c r="AF21" i="3"/>
  <c r="AI21" i="3"/>
  <c r="AA21" i="3"/>
  <c r="AB21" i="3"/>
  <c r="AH21" i="3"/>
  <c r="V6" i="3"/>
  <c r="C20" i="7"/>
  <c r="C27" i="7" s="1"/>
  <c r="D20" i="7"/>
  <c r="D27" i="7" s="1"/>
  <c r="D37" i="7" s="1"/>
  <c r="D39" i="7" s="1"/>
  <c r="D41" i="7" s="1"/>
  <c r="B20" i="7"/>
  <c r="B14" i="5"/>
  <c r="B22" i="5" s="1"/>
  <c r="J13" i="3"/>
  <c r="J21" i="3" s="1"/>
  <c r="R13" i="3"/>
  <c r="R21" i="3" s="1"/>
  <c r="L13" i="3"/>
  <c r="L21" i="3" s="1"/>
  <c r="H13" i="3"/>
  <c r="I13" i="3"/>
  <c r="I21" i="3" s="1"/>
  <c r="C13" i="3"/>
  <c r="C21" i="3" s="1"/>
  <c r="K13" i="3"/>
  <c r="S13" i="3"/>
  <c r="S21" i="3" s="1"/>
  <c r="D13" i="3"/>
  <c r="D21" i="3" s="1"/>
  <c r="B13" i="3"/>
  <c r="E13" i="3"/>
  <c r="M13" i="3"/>
  <c r="M21" i="3" s="1"/>
  <c r="O13" i="3"/>
  <c r="O21" i="3" s="1"/>
  <c r="P13" i="3"/>
  <c r="P21" i="3" s="1"/>
  <c r="F13" i="3"/>
  <c r="F21" i="3" s="1"/>
  <c r="N13" i="3"/>
  <c r="G13" i="3"/>
  <c r="G21" i="3" s="1"/>
  <c r="Q13" i="3"/>
  <c r="Q21" i="3" s="1"/>
  <c r="C40" i="3"/>
  <c r="D41" i="3"/>
  <c r="C39" i="3"/>
  <c r="D39" i="3"/>
  <c r="D37" i="3"/>
  <c r="C36" i="3"/>
  <c r="B41" i="3"/>
  <c r="C37" i="3"/>
  <c r="B35" i="3"/>
  <c r="V4" i="3"/>
  <c r="B36" i="3"/>
  <c r="V5" i="3"/>
  <c r="D40" i="3"/>
  <c r="B37" i="3"/>
  <c r="V8" i="3"/>
  <c r="B40" i="3"/>
  <c r="D35" i="3"/>
  <c r="D36" i="3"/>
  <c r="C35" i="3"/>
  <c r="C41" i="3"/>
  <c r="B39" i="3"/>
  <c r="V7" i="3"/>
  <c r="V9" i="3"/>
  <c r="F26" i="3" l="1"/>
  <c r="V13" i="3"/>
  <c r="K21" i="3"/>
  <c r="I26" i="3"/>
  <c r="V21" i="3"/>
  <c r="H21" i="3"/>
  <c r="H26" i="3"/>
  <c r="N21" i="3"/>
  <c r="J26" i="3"/>
  <c r="E21" i="3"/>
  <c r="G26" i="3"/>
  <c r="B14" i="4"/>
  <c r="C14" i="4"/>
  <c r="F30" i="3"/>
  <c r="C22" i="7"/>
  <c r="C37" i="7" s="1"/>
  <c r="C39" i="7" s="1"/>
  <c r="C41" i="7" s="1"/>
  <c r="B27" i="7"/>
  <c r="B37" i="7" s="1"/>
  <c r="B21" i="3"/>
  <c r="T21" i="3" l="1"/>
  <c r="V22" i="3"/>
  <c r="B16" i="4"/>
  <c r="AK22" i="3"/>
  <c r="F16" i="4"/>
  <c r="H16" i="4"/>
  <c r="H21" i="4" s="1"/>
  <c r="H24" i="4" s="1"/>
  <c r="H25" i="4" s="1"/>
  <c r="G16" i="4"/>
  <c r="C16" i="4"/>
  <c r="D16" i="4"/>
  <c r="D21" i="4" s="1"/>
  <c r="D24" i="4" s="1"/>
  <c r="D25" i="4" s="1"/>
  <c r="E37" i="7"/>
  <c r="B39" i="7"/>
  <c r="D26" i="4" l="1"/>
  <c r="D33" i="4"/>
  <c r="C21" i="4"/>
  <c r="G21" i="4"/>
  <c r="H26" i="4"/>
  <c r="D35" i="4"/>
  <c r="G18" i="4"/>
  <c r="F21" i="4"/>
  <c r="F24" i="4" s="1"/>
  <c r="F25" i="4" s="1"/>
  <c r="B21" i="4"/>
  <c r="B24" i="4" s="1"/>
  <c r="C18" i="4"/>
  <c r="B41" i="7"/>
  <c r="D42" i="7"/>
  <c r="E39" i="7"/>
  <c r="G24" i="4" l="1"/>
  <c r="G25" i="4" s="1"/>
  <c r="G26" i="4" s="1"/>
  <c r="C24" i="4"/>
  <c r="C25" i="4" s="1"/>
  <c r="C33" i="4" s="1"/>
  <c r="B25" i="4"/>
  <c r="B28" i="4" l="1"/>
  <c r="B29" i="4" s="1"/>
  <c r="F28" i="4"/>
  <c r="F29" i="4" s="1"/>
  <c r="C35" i="4"/>
  <c r="C26" i="4"/>
  <c r="B35" i="4"/>
  <c r="F26" i="4"/>
  <c r="B33" i="4"/>
  <c r="B26" i="4"/>
</calcChain>
</file>

<file path=xl/sharedStrings.xml><?xml version="1.0" encoding="utf-8"?>
<sst xmlns="http://schemas.openxmlformats.org/spreadsheetml/2006/main" count="287" uniqueCount="188">
  <si>
    <t>SALARIES</t>
  </si>
  <si>
    <t xml:space="preserve">Annual </t>
  </si>
  <si>
    <t>Monthly</t>
  </si>
  <si>
    <t>CAPTIAL EXPENDITURES</t>
  </si>
  <si>
    <t>Computer 1</t>
  </si>
  <si>
    <t>Computer 2</t>
  </si>
  <si>
    <t>Computer 3</t>
  </si>
  <si>
    <t>Computer 4</t>
  </si>
  <si>
    <t>Computer 5</t>
  </si>
  <si>
    <t>T-shirts</t>
  </si>
  <si>
    <t>Food</t>
  </si>
  <si>
    <t>Release Party</t>
  </si>
  <si>
    <t>Expenditure</t>
  </si>
  <si>
    <t>Monthly Depreciation</t>
  </si>
  <si>
    <t>OPTIONAL</t>
  </si>
  <si>
    <t>BUDGET WORKSHEET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</si>
  <si>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</si>
  <si>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</si>
  <si>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</si>
  <si>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</si>
  <si>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</si>
  <si>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</si>
  <si>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</si>
  <si>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</si>
  <si>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</si>
  <si>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</si>
  <si>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</si>
  <si>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</si>
  <si>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Other</t>
  </si>
  <si>
    <t>BUDGET CALCULATOR</t>
  </si>
  <si>
    <t xml:space="preserve"> MONTHLY TOTALS</t>
  </si>
  <si>
    <t>PROJECT TOTALS</t>
  </si>
  <si>
    <t>GRAND TOTALS</t>
  </si>
  <si>
    <t>CE TOTAL MONTHLY</t>
  </si>
  <si>
    <t>Computer 6</t>
  </si>
  <si>
    <t>Monthly Overhead</t>
  </si>
  <si>
    <t>Break it down into a monthly figure.</t>
  </si>
  <si>
    <t>Use the staffing information from your schedule and determine how many months the project will run.</t>
  </si>
  <si>
    <t xml:space="preserve">Put that information in the calcultor and use the monthly figures from the worksheet. </t>
  </si>
  <si>
    <t>Put the budget worksheet total into the ROI/PFP&amp;L.</t>
  </si>
  <si>
    <t>PFP&amp;L (Pro Form Profit &amp; Loss Statement)</t>
  </si>
  <si>
    <t>Gross Profit</t>
  </si>
  <si>
    <t>Net Profit</t>
  </si>
  <si>
    <t>Development Costs:</t>
  </si>
  <si>
    <t>Developer</t>
  </si>
  <si>
    <t>Publishing Costs:</t>
  </si>
  <si>
    <t>Marketing Plan:</t>
  </si>
  <si>
    <t>Licencing Fees: % of Gross Profit</t>
  </si>
  <si>
    <t>Percentage of Net Profit</t>
  </si>
  <si>
    <t>QA Department Allocation</t>
  </si>
  <si>
    <t>Profit before Development/Publishing/Marketing Allocations and Expenses</t>
  </si>
  <si>
    <t>Use the internet to research how much each item on the budget worksheet costs.</t>
  </si>
  <si>
    <t>Research numbers for the ROI and try to hit a 30% profit.</t>
  </si>
  <si>
    <t>Computer Specs</t>
  </si>
  <si>
    <t>Alienware Desktop</t>
  </si>
  <si>
    <t>list hardware</t>
  </si>
  <si>
    <t>list software</t>
  </si>
  <si>
    <t>3DStudio Max 2013</t>
  </si>
  <si>
    <t>Adobe Creative Cloud</t>
  </si>
  <si>
    <t>Adobe Creative Cloud = 20 developers max</t>
  </si>
  <si>
    <t>list what is in suite</t>
  </si>
  <si>
    <t xml:space="preserve">PCGamingAlliance.org source for Min Spec Install </t>
  </si>
  <si>
    <t>User Base</t>
  </si>
  <si>
    <t>ARPU</t>
  </si>
  <si>
    <t>Months 1-6</t>
  </si>
  <si>
    <t>Months 7-12</t>
  </si>
  <si>
    <t>Months 13-18</t>
  </si>
  <si>
    <t>20% Publishing Department Salary Allocation</t>
  </si>
  <si>
    <t>update to reflect # of developers</t>
  </si>
  <si>
    <t>Salary Survey Data</t>
  </si>
  <si>
    <t>update with lead, level of experience, etc.</t>
  </si>
  <si>
    <t>Servers</t>
  </si>
  <si>
    <t>Month 13</t>
  </si>
  <si>
    <t>Month 14</t>
  </si>
  <si>
    <t>Month 15</t>
  </si>
  <si>
    <t>Month 16</t>
  </si>
  <si>
    <t>Month 17</t>
  </si>
  <si>
    <t>Month 18</t>
  </si>
  <si>
    <t>Producer</t>
  </si>
  <si>
    <t>Art Lead</t>
  </si>
  <si>
    <t xml:space="preserve">Experienced Artist </t>
  </si>
  <si>
    <t xml:space="preserve">Artist </t>
  </si>
  <si>
    <t xml:space="preserve">Lead Level Designer </t>
  </si>
  <si>
    <t xml:space="preserve">Level Desginer </t>
  </si>
  <si>
    <t xml:space="preserve">Lead Software Designer </t>
  </si>
  <si>
    <t xml:space="preserve">Software Designer </t>
  </si>
  <si>
    <t xml:space="preserve">Creative Director </t>
  </si>
  <si>
    <t>Associate Producer</t>
  </si>
  <si>
    <t>Percent Region</t>
  </si>
  <si>
    <t>Average Nat</t>
  </si>
  <si>
    <t>Producers</t>
  </si>
  <si>
    <t>Game Design</t>
  </si>
  <si>
    <t xml:space="preserve">Art </t>
  </si>
  <si>
    <t>Programming</t>
  </si>
  <si>
    <t>Average Reg</t>
  </si>
  <si>
    <t>Total</t>
  </si>
  <si>
    <t>Month 7-12</t>
  </si>
  <si>
    <t>Month 1-6</t>
  </si>
  <si>
    <t>Month 13-18</t>
  </si>
  <si>
    <t>Computer 7</t>
  </si>
  <si>
    <t>Computer 8</t>
  </si>
  <si>
    <t>Wacom tablet 1</t>
  </si>
  <si>
    <t>Wacom tablet 2</t>
  </si>
  <si>
    <t>Norton Anit-Virus</t>
  </si>
  <si>
    <t>Regional Salary</t>
  </si>
  <si>
    <t>Microsoft Office Business</t>
  </si>
  <si>
    <t xml:space="preserve">Windows 7 </t>
  </si>
  <si>
    <t>Windows 7</t>
  </si>
  <si>
    <t>Visual Studio 1</t>
  </si>
  <si>
    <t>Visual Studio 2</t>
  </si>
  <si>
    <t xml:space="preserve">Audio Designer </t>
  </si>
  <si>
    <t>Audio</t>
  </si>
  <si>
    <t>N/A</t>
  </si>
  <si>
    <t>Audio Designer</t>
  </si>
  <si>
    <t xml:space="preserve">Refrences </t>
  </si>
  <si>
    <t>Office</t>
  </si>
  <si>
    <t>http://office.microsoft.com/en-us/buy-microsoft-office-2013-suites-and-office-365-subscriptions-FX102886268.aspx</t>
  </si>
  <si>
    <t xml:space="preserve">Wacom Tablets </t>
  </si>
  <si>
    <t>https://store.wacom.com/us/</t>
  </si>
  <si>
    <t>http://www.bestbuy.com/site/windows-7-professional-with-service-pack-1-64-bit-pc/3654008.p;jsessionid=BD8B8B0908DCE14333E2A2166C1BC830.bbolsp-app02-136?id=1219092580328&amp;skuId=3654008&amp;st=categoryid$abcat0508002&amp;lp=5&amp;cp=1</t>
  </si>
  <si>
    <t>Rackspace Server</t>
  </si>
  <si>
    <t>http://www.rackspace.com/calculator/</t>
  </si>
  <si>
    <t>Epic 25%</t>
  </si>
  <si>
    <t>Steam 25%</t>
  </si>
  <si>
    <t xml:space="preserve">total </t>
  </si>
  <si>
    <t xml:space="preserve">Mechandising </t>
  </si>
  <si>
    <t xml:space="preserve">Open Beta </t>
  </si>
  <si>
    <t>Post-Beta</t>
  </si>
  <si>
    <t>ROI CALCULATOR Stretch (Return on Investment)</t>
  </si>
  <si>
    <t>ROI CALCULATOR Conservative (Return on Investment)</t>
  </si>
  <si>
    <t>Post Beta</t>
  </si>
  <si>
    <t>Month 19</t>
  </si>
  <si>
    <t xml:space="preserve">Programmer 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</si>
  <si>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</si>
  <si>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</si>
  <si>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</si>
  <si>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</si>
  <si>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</si>
  <si>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</si>
  <si>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</si>
  <si>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</si>
  <si>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</si>
  <si>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</si>
  <si>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</si>
  <si>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 xml:space="preserve">Monthly Depreciation </t>
  </si>
  <si>
    <t>Office Space, Misc, Etc ($45k space and power)</t>
  </si>
  <si>
    <t>Localization</t>
  </si>
  <si>
    <t>Reserves (5%)</t>
  </si>
  <si>
    <t xml:space="preserve">Adjusted for Benefits </t>
  </si>
  <si>
    <t xml:space="preserve">Marketing (PR, Online Ads, Branding) </t>
  </si>
  <si>
    <t>STRETCH</t>
  </si>
  <si>
    <t>CONSERVATIVE</t>
  </si>
  <si>
    <t>Early-Access Beta</t>
  </si>
  <si>
    <t>Closed Beta</t>
  </si>
  <si>
    <t xml:space="preserve">With Benefits </t>
  </si>
  <si>
    <t xml:space="preserve">Gross Cost </t>
  </si>
  <si>
    <t>Net</t>
  </si>
  <si>
    <t xml:space="preserve">Months 1-3 </t>
  </si>
  <si>
    <t>Verticle Slice</t>
  </si>
  <si>
    <t xml:space="preserve">Alpha </t>
  </si>
  <si>
    <t>Months 4-6</t>
  </si>
  <si>
    <t>Months 7-9</t>
  </si>
  <si>
    <t>Months 10-12</t>
  </si>
  <si>
    <t>Months 19-21</t>
  </si>
  <si>
    <t>Months 22-25</t>
  </si>
  <si>
    <t>Months 26-30</t>
  </si>
  <si>
    <t>Early Access Beta</t>
  </si>
  <si>
    <t>Open Beta</t>
  </si>
  <si>
    <t>Post Launch 1</t>
  </si>
  <si>
    <t>Post Launch 2</t>
  </si>
  <si>
    <t>Post Launch 3</t>
  </si>
  <si>
    <t xml:space="preserve">Months </t>
  </si>
  <si>
    <t>Steam 30%</t>
  </si>
  <si>
    <t xml:space="preserve">Prototype </t>
  </si>
  <si>
    <t xml:space="preserve">Pre-Production </t>
  </si>
  <si>
    <t>Vertical Slice</t>
  </si>
  <si>
    <t>Alpha</t>
  </si>
  <si>
    <t>Post Beta 1</t>
  </si>
  <si>
    <t>Post Beta 2</t>
  </si>
  <si>
    <t xml:space="preserve">Gross Profit </t>
  </si>
  <si>
    <t>VS Alpha</t>
  </si>
  <si>
    <t xml:space="preserve">Closed EA Beta </t>
  </si>
  <si>
    <t xml:space="preserve">Post Beta 1 </t>
  </si>
  <si>
    <t>Month 19-24</t>
  </si>
  <si>
    <t>Month 25-30</t>
  </si>
  <si>
    <t>Artist 2</t>
  </si>
  <si>
    <t xml:space="preserve">Monthly Deprecition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</si>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</sst>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38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44" fontId="0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44" fontId="9" fillId="0" borderId="1" xfId="1" applyFont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44" fontId="1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3" fontId="2" fillId="0" borderId="0" xfId="0" applyNumberFormat="1" applyFont="1"/>
    <xf numFmtId="0" fontId="3" fillId="0" borderId="1" xfId="0" applyFont="1" applyBorder="1" applyAlignment="1">
      <alignment horizontal="right"/>
    </xf>
    <xf numFmtId="44" fontId="2" fillId="0" borderId="1" xfId="0" applyNumberFormat="1" applyFont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9" fontId="2" fillId="0" borderId="1" xfId="2" applyFont="1" applyBorder="1" applyAlignment="1">
      <alignment horizontal="center"/>
    </xf>
    <xf numFmtId="0" fontId="7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/>
    <xf numFmtId="43" fontId="0" fillId="0" borderId="0" xfId="3" applyFont="1"/>
    <xf numFmtId="44" fontId="0" fillId="0" borderId="0" xfId="1" applyFont="1"/>
    <xf numFmtId="164" fontId="0" fillId="0" borderId="1" xfId="3" applyNumberFormat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9" fontId="0" fillId="0" borderId="1" xfId="1" applyNumberFormat="1" applyFont="1" applyBorder="1" applyAlignment="1">
      <alignment horizontal="right"/>
    </xf>
    <xf numFmtId="0" fontId="3" fillId="0" borderId="1" xfId="0" applyFont="1" applyBorder="1"/>
    <xf numFmtId="0" fontId="0" fillId="0" borderId="0" xfId="0" applyAlignment="1">
      <alignment horizontal="center"/>
    </xf>
    <xf numFmtId="44" fontId="0" fillId="0" borderId="1" xfId="1" applyFont="1" applyBorder="1" applyAlignment="1">
      <alignment horizontal="right"/>
    </xf>
    <xf numFmtId="44" fontId="0" fillId="0" borderId="1" xfId="1" applyFont="1" applyBorder="1"/>
    <xf numFmtId="0" fontId="8" fillId="0" borderId="1" xfId="0" applyFont="1" applyFill="1" applyBorder="1" applyAlignment="1">
      <alignment horizontal="center"/>
    </xf>
    <xf numFmtId="4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0" xfId="0" applyNumberFormat="1" applyAlignment="1">
      <alignment wrapText="1"/>
    </xf>
    <xf numFmtId="165" fontId="7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right" wrapText="1"/>
    </xf>
    <xf numFmtId="165" fontId="0" fillId="0" borderId="1" xfId="3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wrapText="1"/>
    </xf>
    <xf numFmtId="165" fontId="0" fillId="0" borderId="0" xfId="0" applyNumberFormat="1" applyAlignment="1">
      <alignment horizontal="center"/>
    </xf>
    <xf numFmtId="165" fontId="2" fillId="3" borderId="1" xfId="0" applyNumberFormat="1" applyFont="1" applyFill="1" applyBorder="1" applyAlignment="1">
      <alignment horizontal="left" wrapText="1"/>
    </xf>
    <xf numFmtId="165" fontId="2" fillId="3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left" wrapText="1"/>
    </xf>
    <xf numFmtId="165" fontId="0" fillId="0" borderId="1" xfId="0" applyNumberFormat="1" applyBorder="1" applyAlignment="1">
      <alignment horizontal="right" wrapText="1"/>
    </xf>
    <xf numFmtId="165" fontId="2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3" fillId="0" borderId="1" xfId="0" applyFont="1" applyBorder="1" applyAlignment="1"/>
    <xf numFmtId="0" fontId="0" fillId="0" borderId="5" xfId="0" applyBorder="1" applyAlignment="1"/>
    <xf numFmtId="165" fontId="0" fillId="0" borderId="0" xfId="1" applyNumberFormat="1" applyFont="1" applyAlignment="1">
      <alignment horizontal="center"/>
    </xf>
    <xf numFmtId="0" fontId="11" fillId="0" borderId="6" xfId="4"/>
    <xf numFmtId="44" fontId="11" fillId="0" borderId="6" xfId="4" applyNumberFormat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5">
    <cellStyle name="Comma" xfId="3" builtinId="3"/>
    <cellStyle name="Currency" xfId="1" builtinId="4"/>
    <cellStyle name="Normal" xfId="0" builtinId="0"/>
    <cellStyle name="Percent" xfId="2" builtinId="5"/>
    <cellStyle name="Total" xfId="4" builtinId="2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Developers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'Budget Calculator'!$F$24:$L$24</c:f>
              <c:strCache>
                <c:ptCount val="7"/>
                <c:pt idx="0">
                  <c:v>Vertical Slice</c:v>
                </c:pt>
                <c:pt idx="1">
                  <c:v>Alpha</c:v>
                </c:pt>
                <c:pt idx="2">
                  <c:v>Closed Beta</c:v>
                </c:pt>
                <c:pt idx="3">
                  <c:v>Early-Access Beta</c:v>
                </c:pt>
                <c:pt idx="4">
                  <c:v>Open Beta </c:v>
                </c:pt>
                <c:pt idx="5">
                  <c:v>Post Beta 1</c:v>
                </c:pt>
                <c:pt idx="6">
                  <c:v>Post Beta 2</c:v>
                </c:pt>
              </c:strCache>
            </c:strRef>
          </c:cat>
          <c:val>
            <c:numRef>
              <c:f>'Budget Calculator'!$F$25:$L$25</c:f>
              <c:numCache>
                <c:formatCode>_("$"* #,##0.00_);_("$"* \(#,##0.00\);_("$"* "-"??_);_(@_)</c:formatCode>
                <c:ptCount val="7"/>
                <c:pt idx="0">
                  <c:v>117082.57693540618</c:v>
                </c:pt>
                <c:pt idx="1">
                  <c:v>117082.57693540618</c:v>
                </c:pt>
                <c:pt idx="2">
                  <c:v>117082.57693540618</c:v>
                </c:pt>
                <c:pt idx="3">
                  <c:v>117082.57693540618</c:v>
                </c:pt>
                <c:pt idx="4">
                  <c:v>234165.1538708123</c:v>
                </c:pt>
                <c:pt idx="5">
                  <c:v>118937.70803882016</c:v>
                </c:pt>
                <c:pt idx="6">
                  <c:v>118937.70803882016</c:v>
                </c:pt>
              </c:numCache>
            </c:numRef>
          </c:val>
        </c:ser>
        <c:ser>
          <c:idx val="1"/>
          <c:order val="1"/>
          <c:tx>
            <c:v>Overhead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'Budget Calculator'!$F$24:$L$24</c:f>
              <c:strCache>
                <c:ptCount val="7"/>
                <c:pt idx="0">
                  <c:v>Vertical Slice</c:v>
                </c:pt>
                <c:pt idx="1">
                  <c:v>Alpha</c:v>
                </c:pt>
                <c:pt idx="2">
                  <c:v>Closed Beta</c:v>
                </c:pt>
                <c:pt idx="3">
                  <c:v>Early-Access Beta</c:v>
                </c:pt>
                <c:pt idx="4">
                  <c:v>Open Beta </c:v>
                </c:pt>
                <c:pt idx="5">
                  <c:v>Post Beta 1</c:v>
                </c:pt>
                <c:pt idx="6">
                  <c:v>Post Beta 2</c:v>
                </c:pt>
              </c:strCache>
            </c:strRef>
          </c:cat>
          <c:val>
            <c:numRef>
              <c:f>'Budget Calculator'!$F$26:$L$26</c:f>
              <c:numCache>
                <c:formatCode>_("$"* #,##0.00_);_("$"* \(#,##0.00\);_("$"* "-"??_);_(@_)</c:formatCode>
                <c:ptCount val="7"/>
                <c:pt idx="0">
                  <c:v>36293.475000000006</c:v>
                </c:pt>
                <c:pt idx="1">
                  <c:v>36293.475000000006</c:v>
                </c:pt>
                <c:pt idx="2">
                  <c:v>36293.475000000006</c:v>
                </c:pt>
                <c:pt idx="3">
                  <c:v>36293.475000000006</c:v>
                </c:pt>
                <c:pt idx="4">
                  <c:v>72586.95</c:v>
                </c:pt>
                <c:pt idx="5">
                  <c:v>9324</c:v>
                </c:pt>
                <c:pt idx="6">
                  <c:v>9324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165584"/>
        <c:axId val="242165968"/>
      </c:barChart>
      <c:catAx>
        <c:axId val="24216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165968"/>
        <c:crosses val="autoZero"/>
        <c:auto val="1"/>
        <c:lblAlgn val="ctr"/>
        <c:lblOffset val="100"/>
        <c:noMultiLvlLbl val="0"/>
      </c:catAx>
      <c:valAx>
        <c:axId val="24216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16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</a:t>
            </a:r>
            <a:r>
              <a:rPr lang="en-US" baseline="0"/>
              <a:t> Burndown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('Budget Calculator'!$B$21:$S$21,'Budget Calculator'!$Y$21:$AJ$21)</c:f>
              <c:numCache>
                <c:formatCode>_("$"* #,##0.00_);_("$"* \(#,##0.00\);_("$"* "-"??_);_(@_)</c:formatCode>
                <c:ptCount val="30"/>
                <c:pt idx="0">
                  <c:v>51125.35064513539</c:v>
                </c:pt>
                <c:pt idx="1">
                  <c:v>51125.35064513539</c:v>
                </c:pt>
                <c:pt idx="2">
                  <c:v>51125.35064513539</c:v>
                </c:pt>
                <c:pt idx="3">
                  <c:v>51125.35064513539</c:v>
                </c:pt>
                <c:pt idx="4">
                  <c:v>51125.35064513539</c:v>
                </c:pt>
                <c:pt idx="5">
                  <c:v>51125.35064513539</c:v>
                </c:pt>
                <c:pt idx="6">
                  <c:v>51125.35064513539</c:v>
                </c:pt>
                <c:pt idx="7">
                  <c:v>51125.35064513539</c:v>
                </c:pt>
                <c:pt idx="8">
                  <c:v>51125.35064513539</c:v>
                </c:pt>
                <c:pt idx="9">
                  <c:v>51125.35064513539</c:v>
                </c:pt>
                <c:pt idx="10">
                  <c:v>51125.35064513539</c:v>
                </c:pt>
                <c:pt idx="11">
                  <c:v>51125.35064513539</c:v>
                </c:pt>
                <c:pt idx="12">
                  <c:v>51125.35064513539</c:v>
                </c:pt>
                <c:pt idx="13">
                  <c:v>51125.35064513539</c:v>
                </c:pt>
                <c:pt idx="14">
                  <c:v>51125.35064513539</c:v>
                </c:pt>
                <c:pt idx="15">
                  <c:v>51125.35064513539</c:v>
                </c:pt>
                <c:pt idx="16">
                  <c:v>51125.35064513539</c:v>
                </c:pt>
                <c:pt idx="17">
                  <c:v>51125.35064513539</c:v>
                </c:pt>
                <c:pt idx="18">
                  <c:v>21376.95133980336</c:v>
                </c:pt>
                <c:pt idx="19">
                  <c:v>21376.95133980336</c:v>
                </c:pt>
                <c:pt idx="20">
                  <c:v>21376.95133980336</c:v>
                </c:pt>
                <c:pt idx="21">
                  <c:v>21376.95133980336</c:v>
                </c:pt>
                <c:pt idx="22">
                  <c:v>21376.95133980336</c:v>
                </c:pt>
                <c:pt idx="23">
                  <c:v>21376.95133980336</c:v>
                </c:pt>
                <c:pt idx="24">
                  <c:v>21376.95133980336</c:v>
                </c:pt>
                <c:pt idx="25">
                  <c:v>21376.95133980336</c:v>
                </c:pt>
                <c:pt idx="26">
                  <c:v>21376.95133980336</c:v>
                </c:pt>
                <c:pt idx="27">
                  <c:v>21376.95133980336</c:v>
                </c:pt>
                <c:pt idx="28">
                  <c:v>21376.95133980336</c:v>
                </c:pt>
                <c:pt idx="29">
                  <c:v>21376.95133980336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603792"/>
        <c:axId val="241083360"/>
      </c:barChart>
      <c:catAx>
        <c:axId val="241603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083360"/>
        <c:crosses val="autoZero"/>
        <c:auto val="1"/>
        <c:lblAlgn val="ctr"/>
        <c:lblOffset val="100"/>
        <c:noMultiLvlLbl val="0"/>
      </c:catAx>
      <c:valAx>
        <c:axId val="24108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60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Break Even Analysis</a:t>
            </a:r>
          </a:p>
        </c:rich>
      </c:tx>
      <c:layout>
        <c:manualLayout>
          <c:xMode val="edge"/>
          <c:yMode val="edge"/>
          <c:x val="0.3368956692913385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Conservative ROI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'ROI Conservative'!$B$33:$D$33</c:f>
              <c:numCache>
                <c:formatCode>_("$"* #,##0.00_);_("$"* \(#,##0.00\);_("$"* "-"??_);_(@_)</c:formatCode>
                <c:ptCount val="3"/>
                <c:pt idx="0">
                  <c:v>-895807.57393492432</c:v>
                </c:pt>
                <c:pt idx="1">
                  <c:v>658659.08512620977</c:v>
                </c:pt>
                <c:pt idx="2">
                  <c:v>2392171.9007068318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ysClr val="windowText" lastClr="000000"/>
                </a:solidFill>
                <a:round/>
              </a:ln>
              <a:effectLst/>
            </c:spPr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ysClr val="windowText" lastClr="000000"/>
                </a:solidFill>
                <a:round/>
              </a:ln>
              <a:effectLst/>
            </c:spPr>
          </c:dPt>
          <c:val>
            <c:numRef>
              <c:f>'ROI Conservative'!$B$34:$D$34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Stretch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'ROI Conservative'!$B$35:$D$35</c:f>
              <c:numCache>
                <c:formatCode>_("$"* #,##0.00_);_("$"* \(#,##0.00\);_("$"* "-"??_);_(@_)</c:formatCode>
                <c:ptCount val="3"/>
                <c:pt idx="0">
                  <c:v>-828307.57393492432</c:v>
                </c:pt>
                <c:pt idx="1">
                  <c:v>861159.08512620977</c:v>
                </c:pt>
                <c:pt idx="2">
                  <c:v>2932171.9007068318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93160"/>
        <c:axId val="241602624"/>
      </c:lineChart>
      <c:catAx>
        <c:axId val="241093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6</a:t>
                </a:r>
                <a:r>
                  <a:rPr lang="en-US" baseline="0"/>
                  <a:t> Months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602624"/>
        <c:crossesAt val="0"/>
        <c:auto val="1"/>
        <c:lblAlgn val="ctr"/>
        <c:lblOffset val="100"/>
        <c:noMultiLvlLbl val="0"/>
      </c:catAx>
      <c:valAx>
        <c:axId val="24160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</a:t>
                </a:r>
                <a:r>
                  <a:rPr lang="en-US" baseline="0"/>
                  <a:t> Dollars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09316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'ROI Conservative'!$B$16:$D$16</c:f>
              <c:numCache>
                <c:formatCode>"$"#,##0.00</c:formatCode>
                <c:ptCount val="3"/>
                <c:pt idx="0">
                  <c:v>920256.31161243713</c:v>
                </c:pt>
                <c:pt idx="1">
                  <c:v>256523.41607764029</c:v>
                </c:pt>
                <c:pt idx="2">
                  <c:v>256523.41607764029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750808"/>
        <c:axId val="179780608"/>
      </c:barChart>
      <c:catAx>
        <c:axId val="241750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80608"/>
        <c:crosses val="autoZero"/>
        <c:auto val="1"/>
        <c:lblAlgn val="ctr"/>
        <c:lblOffset val="100"/>
        <c:noMultiLvlLbl val="0"/>
      </c:catAx>
      <c:valAx>
        <c:axId val="17978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50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89646</xdr:colOff>
      <xdr:row>24</xdr:row>
      <xdr:rowOff>124384</xdr:rowOff>
    </xdr:from>
    <xdr:to>
      <xdr:col>27</xdr:col>
      <xdr:colOff>336176</xdr:colOff>
      <xdr:row>41</xdr:row>
      <xdr:rowOff>43702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369794</xdr:colOff>
      <xdr:row>25</xdr:row>
      <xdr:rowOff>23532</xdr:rowOff>
    </xdr:from>
    <xdr:to>
      <xdr:col>34</xdr:col>
      <xdr:colOff>437029</xdr:colOff>
      <xdr:row>41</xdr:row>
      <xdr:rowOff>99732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13</xdr:row>
      <xdr:rowOff>19050</xdr:rowOff>
    </xdr:from>
    <xdr:to>
      <xdr:col>16</xdr:col>
      <xdr:colOff>95250</xdr:colOff>
      <xdr:row>24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552450</xdr:colOff>
      <xdr:row>26</xdr:row>
      <xdr:rowOff>90487</xdr:rowOff>
    </xdr:from>
    <xdr:to>
      <xdr:col>15</xdr:col>
      <xdr:colOff>361950</xdr:colOff>
      <xdr:row>43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H19" sqref="H19"/>
    </sheetView>
  </sheetViews>
  <sheetFormatPr defaultRowHeight="12.75" x14ac:dyDescent="0.2"/>
  <cols>
    <col min="1" max="1" width="7.42578125" customWidth="1"/>
    <col min="2" max="2" width="10.28515625" bestFit="1" customWidth="1"/>
    <col min="3" max="6" width="10.7109375" bestFit="1" customWidth="1"/>
    <col min="7" max="7" width="11.28515625" bestFit="1" customWidth="1"/>
    <col min="8" max="10" width="10.7109375" bestFit="1" customWidth="1"/>
    <col min="11" max="11" width="11.7109375" bestFit="1" customWidth="1"/>
  </cols>
  <sheetData>
    <row r="1" spans="1:6" x14ac:dyDescent="0.2">
      <c r="A1" s="17">
        <v>1</v>
      </c>
      <c r="B1" s="1" t="s">
        <v>51</v>
      </c>
    </row>
    <row r="2" spans="1:6" x14ac:dyDescent="0.2">
      <c r="A2" s="17">
        <v>2</v>
      </c>
      <c r="B2" s="1" t="s">
        <v>36</v>
      </c>
    </row>
    <row r="3" spans="1:6" x14ac:dyDescent="0.2">
      <c r="A3" s="17">
        <v>3</v>
      </c>
      <c r="B3" s="1" t="s">
        <v>37</v>
      </c>
    </row>
    <row r="4" spans="1:6" x14ac:dyDescent="0.2">
      <c r="A4" s="17">
        <v>4</v>
      </c>
      <c r="B4" s="1" t="s">
        <v>38</v>
      </c>
    </row>
    <row r="5" spans="1:6" x14ac:dyDescent="0.2">
      <c r="A5" s="17">
        <v>5</v>
      </c>
      <c r="B5" s="1" t="s">
        <v>39</v>
      </c>
    </row>
    <row r="6" spans="1:6" x14ac:dyDescent="0.2">
      <c r="A6" s="17">
        <v>6</v>
      </c>
      <c r="B6" s="30" t="s">
        <v>52</v>
      </c>
    </row>
    <row r="7" spans="1:6" x14ac:dyDescent="0.2">
      <c r="A7" s="17">
        <v>7</v>
      </c>
      <c r="B7" s="1" t="s">
        <v>61</v>
      </c>
    </row>
    <row r="8" spans="1:6" x14ac:dyDescent="0.2">
      <c r="B8" s="3"/>
    </row>
    <row r="9" spans="1:6" x14ac:dyDescent="0.2">
      <c r="B9" t="s">
        <v>53</v>
      </c>
      <c r="F9" t="s">
        <v>59</v>
      </c>
    </row>
    <row r="10" spans="1:6" x14ac:dyDescent="0.2">
      <c r="B10" t="s">
        <v>54</v>
      </c>
      <c r="D10">
        <v>1</v>
      </c>
      <c r="F10" t="s">
        <v>60</v>
      </c>
    </row>
    <row r="11" spans="1:6" x14ac:dyDescent="0.2">
      <c r="B11" s="4" t="s">
        <v>55</v>
      </c>
      <c r="D11">
        <v>1</v>
      </c>
    </row>
    <row r="12" spans="1:6" x14ac:dyDescent="0.2">
      <c r="B12" s="4" t="s">
        <v>56</v>
      </c>
      <c r="D12">
        <v>1</v>
      </c>
    </row>
    <row r="13" spans="1:6" x14ac:dyDescent="0.2">
      <c r="A13" s="1"/>
      <c r="D13" s="1">
        <f>SUM(D10:D12)</f>
        <v>3</v>
      </c>
    </row>
    <row r="14" spans="1:6" x14ac:dyDescent="0.2">
      <c r="A14" s="2"/>
      <c r="B14" s="4"/>
    </row>
    <row r="15" spans="1:6" x14ac:dyDescent="0.2">
      <c r="B15" s="4"/>
      <c r="D15" s="2"/>
      <c r="E15" s="3"/>
    </row>
    <row r="16" spans="1:6" x14ac:dyDescent="0.2">
      <c r="B16" s="4"/>
      <c r="E16" s="3"/>
    </row>
    <row r="17" spans="1:11" x14ac:dyDescent="0.2">
      <c r="B17" s="4"/>
    </row>
    <row r="18" spans="1:11" x14ac:dyDescent="0.2">
      <c r="A18" s="2"/>
      <c r="B18" s="4"/>
    </row>
    <row r="19" spans="1:11" x14ac:dyDescent="0.2">
      <c r="A19" s="2"/>
      <c r="B19" s="4"/>
    </row>
    <row r="20" spans="1:11" x14ac:dyDescent="0.2">
      <c r="A20" s="2"/>
      <c r="B20" s="4"/>
    </row>
    <row r="21" spans="1:11" x14ac:dyDescent="0.2">
      <c r="A21" s="2"/>
      <c r="B21" s="4"/>
    </row>
    <row r="22" spans="1:11" x14ac:dyDescent="0.2">
      <c r="A22" s="1"/>
      <c r="B22" s="4"/>
    </row>
    <row r="24" spans="1:11" x14ac:dyDescent="0.2">
      <c r="A24" s="1"/>
      <c r="B24" s="4"/>
    </row>
    <row r="27" spans="1:11" x14ac:dyDescent="0.2">
      <c r="B27" s="1"/>
    </row>
    <row r="28" spans="1:1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11" x14ac:dyDescent="0.2">
      <c r="B33" s="1"/>
    </row>
    <row r="34" spans="1:1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4" type="noConversion"/>
  <pageMargins left="0.75" right="0.75" top="0.71" bottom="1" header="0.5" footer="0.5"/>
  <pageSetup orientation="landscape" r:id="rId1"/>
  <headerFooter alignWithMargins="0">
    <oddHeader>&amp;LGames Development Cost – Revenue - Profit&amp;RPage &amp;P of &amp;N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D36" sqref="D36"/>
    </sheetView>
  </sheetViews>
  <sheetFormatPr defaultRowHeight="12.75" x14ac:dyDescent="0.2"/>
  <cols>
    <col min="1" max="1" width="24.85546875" customWidth="1"/>
    <col min="2" max="3" width="21.28515625" style="6" customWidth="1"/>
    <col min="4" max="4" width="20" style="6" customWidth="1"/>
    <col min="5" max="5" width="13.7109375" bestFit="1" customWidth="1"/>
    <col min="8" max="8" width="12.28515625" style="5" customWidth="1"/>
    <col min="10" max="10" width="19.85546875" bestFit="1" customWidth="1"/>
    <col min="11" max="11" width="14" bestFit="1" customWidth="1"/>
    <col min="12" max="12" width="23.5703125" bestFit="1" customWidth="1"/>
    <col min="14" max="14" width="11.28515625" bestFit="1" customWidth="1"/>
  </cols>
  <sheetData>
    <row r="1" spans="1:13" ht="15" x14ac:dyDescent="0.25">
      <c r="A1" s="16" t="s">
        <v>15</v>
      </c>
      <c r="H1"/>
    </row>
    <row r="2" spans="1:13" x14ac:dyDescent="0.2">
      <c r="G2" s="2" t="s">
        <v>68</v>
      </c>
      <c r="H2"/>
      <c r="K2" s="1"/>
    </row>
    <row r="3" spans="1:13" x14ac:dyDescent="0.2">
      <c r="A3" s="12" t="s">
        <v>0</v>
      </c>
      <c r="B3" s="15" t="s">
        <v>1</v>
      </c>
      <c r="C3" s="15" t="s">
        <v>2</v>
      </c>
      <c r="D3" s="15" t="s">
        <v>154</v>
      </c>
      <c r="H3"/>
    </row>
    <row r="4" spans="1:13" x14ac:dyDescent="0.2">
      <c r="A4" s="2" t="s">
        <v>78</v>
      </c>
      <c r="B4" s="19">
        <f>Budget!B4*M15</f>
        <v>41827.5175983929</v>
      </c>
      <c r="C4" s="19">
        <f t="shared" ref="C4:C12" si="0">D4/12</f>
        <v>4182.7517598392897</v>
      </c>
      <c r="D4" s="19">
        <f t="shared" ref="D4:D12" si="1">1.2*(B4)</f>
        <v>50193.021118071476</v>
      </c>
      <c r="H4"/>
    </row>
    <row r="5" spans="1:13" x14ac:dyDescent="0.2">
      <c r="A5" t="s">
        <v>86</v>
      </c>
      <c r="B5" s="19">
        <f>Budget!B5*M16</f>
        <v>96823.495770332389</v>
      </c>
      <c r="C5" s="19">
        <f t="shared" si="0"/>
        <v>9682.3495770332393</v>
      </c>
      <c r="D5" s="19">
        <f t="shared" si="1"/>
        <v>116188.19492439886</v>
      </c>
    </row>
    <row r="6" spans="1:13" x14ac:dyDescent="0.2">
      <c r="A6" t="s">
        <v>79</v>
      </c>
      <c r="B6" s="19">
        <f>Budget!B6*$M$17</f>
        <v>59127.481835513077</v>
      </c>
      <c r="C6" s="19">
        <f t="shared" si="0"/>
        <v>5912.7481835513072</v>
      </c>
      <c r="D6" s="19">
        <f t="shared" si="1"/>
        <v>70952.97820261569</v>
      </c>
    </row>
    <row r="7" spans="1:13" x14ac:dyDescent="0.2">
      <c r="A7" t="s">
        <v>81</v>
      </c>
      <c r="B7" s="19">
        <f>Budget!B8*$M$17</f>
        <v>47341.094881947502</v>
      </c>
      <c r="C7" s="19">
        <f t="shared" si="0"/>
        <v>4734.1094881947502</v>
      </c>
      <c r="D7" s="19">
        <f t="shared" si="1"/>
        <v>56809.313858337002</v>
      </c>
      <c r="K7" s="2"/>
    </row>
    <row r="8" spans="1:13" x14ac:dyDescent="0.2">
      <c r="A8" t="s">
        <v>82</v>
      </c>
      <c r="B8" s="19">
        <f>Budget!B9*$M$16</f>
        <v>79700.466555651772</v>
      </c>
      <c r="C8" s="19">
        <f t="shared" si="0"/>
        <v>7970.0466555651765</v>
      </c>
      <c r="D8" s="19">
        <f t="shared" si="1"/>
        <v>95640.559866782118</v>
      </c>
    </row>
    <row r="9" spans="1:13" x14ac:dyDescent="0.2">
      <c r="A9" t="s">
        <v>83</v>
      </c>
      <c r="B9" s="19">
        <f>Budget!B10*$M$16</f>
        <v>49946.893945247451</v>
      </c>
      <c r="C9" s="19">
        <f t="shared" si="0"/>
        <v>4994.6893945247448</v>
      </c>
      <c r="D9" s="19">
        <f t="shared" si="1"/>
        <v>59936.272734296937</v>
      </c>
    </row>
    <row r="10" spans="1:13" x14ac:dyDescent="0.2">
      <c r="A10" t="s">
        <v>84</v>
      </c>
      <c r="B10" s="19">
        <f>Budget!B11*$M$18</f>
        <v>79999.462154507273</v>
      </c>
      <c r="C10" s="19">
        <f t="shared" si="0"/>
        <v>7999.9462154507273</v>
      </c>
      <c r="D10" s="19">
        <f t="shared" si="1"/>
        <v>95999.354585408728</v>
      </c>
    </row>
    <row r="11" spans="1:13" x14ac:dyDescent="0.2">
      <c r="A11" t="s">
        <v>85</v>
      </c>
      <c r="B11" s="19">
        <f>Budget!B12*$M$18</f>
        <v>61719.806035745678</v>
      </c>
      <c r="C11" s="19">
        <f t="shared" si="0"/>
        <v>6171.9806035745678</v>
      </c>
      <c r="D11" s="19">
        <f t="shared" si="1"/>
        <v>74063.767242894814</v>
      </c>
    </row>
    <row r="12" spans="1:13" x14ac:dyDescent="0.2">
      <c r="A12" s="2" t="s">
        <v>110</v>
      </c>
      <c r="B12" s="19">
        <v>50313</v>
      </c>
      <c r="C12" s="19">
        <f t="shared" si="0"/>
        <v>5031.3</v>
      </c>
      <c r="D12" s="19">
        <f t="shared" si="1"/>
        <v>60375.6</v>
      </c>
    </row>
    <row r="13" spans="1:13" x14ac:dyDescent="0.2">
      <c r="A13" s="14" t="s">
        <v>3</v>
      </c>
      <c r="B13" s="15" t="s">
        <v>12</v>
      </c>
      <c r="C13" s="15" t="s">
        <v>13</v>
      </c>
      <c r="D13"/>
    </row>
    <row r="14" spans="1:13" x14ac:dyDescent="0.2">
      <c r="A14" s="31" t="s">
        <v>71</v>
      </c>
      <c r="B14" s="48">
        <v>180000</v>
      </c>
      <c r="C14" s="19">
        <f t="shared" ref="C14:C31" si="2">B14/18</f>
        <v>10000</v>
      </c>
      <c r="D14"/>
      <c r="J14" s="17" t="s">
        <v>104</v>
      </c>
      <c r="K14" t="s">
        <v>89</v>
      </c>
      <c r="L14" t="s">
        <v>94</v>
      </c>
      <c r="M14" t="s">
        <v>88</v>
      </c>
    </row>
    <row r="15" spans="1:13" x14ac:dyDescent="0.2">
      <c r="A15" s="9" t="s">
        <v>4</v>
      </c>
      <c r="B15" s="19">
        <v>3102</v>
      </c>
      <c r="C15" s="19">
        <f t="shared" si="2"/>
        <v>172.33333333333334</v>
      </c>
      <c r="D15"/>
      <c r="H15"/>
      <c r="J15" s="5" t="s">
        <v>90</v>
      </c>
      <c r="K15" s="19">
        <v>84127</v>
      </c>
      <c r="L15" s="19">
        <v>75203</v>
      </c>
      <c r="M15" s="19">
        <f>1-((K15-L15)/K15)</f>
        <v>0.89392228416560671</v>
      </c>
    </row>
    <row r="16" spans="1:13" x14ac:dyDescent="0.2">
      <c r="A16" s="9" t="s">
        <v>5</v>
      </c>
      <c r="B16" s="19">
        <v>3102</v>
      </c>
      <c r="C16" s="19">
        <f t="shared" si="2"/>
        <v>172.33333333333334</v>
      </c>
      <c r="D16"/>
      <c r="F16" s="2" t="s">
        <v>70</v>
      </c>
      <c r="H16"/>
      <c r="J16" s="5" t="s">
        <v>91</v>
      </c>
      <c r="K16" s="19">
        <v>75065</v>
      </c>
      <c r="L16" s="19">
        <v>68654</v>
      </c>
      <c r="M16" s="19">
        <f>1-((K16-L16)/K16)</f>
        <v>0.91459401851728506</v>
      </c>
    </row>
    <row r="17" spans="1:14" x14ac:dyDescent="0.2">
      <c r="A17" s="9" t="s">
        <v>6</v>
      </c>
      <c r="B17" s="19">
        <v>3102</v>
      </c>
      <c r="C17" s="19">
        <f t="shared" si="2"/>
        <v>172.33333333333334</v>
      </c>
      <c r="D17"/>
      <c r="H17"/>
      <c r="J17" s="5" t="s">
        <v>92</v>
      </c>
      <c r="K17" s="19">
        <v>75009</v>
      </c>
      <c r="L17" s="19">
        <v>63773</v>
      </c>
      <c r="M17" s="19">
        <f>1-((K17-L17)/K17)</f>
        <v>0.85020464210961355</v>
      </c>
    </row>
    <row r="18" spans="1:14" x14ac:dyDescent="0.2">
      <c r="A18" s="9" t="s">
        <v>7</v>
      </c>
      <c r="B18" s="19">
        <v>3102</v>
      </c>
      <c r="C18" s="19">
        <f t="shared" si="2"/>
        <v>172.33333333333334</v>
      </c>
      <c r="D18"/>
      <c r="H18"/>
      <c r="J18" s="5" t="s">
        <v>93</v>
      </c>
      <c r="K18" s="19">
        <v>92151</v>
      </c>
      <c r="L18" s="19">
        <v>78777</v>
      </c>
      <c r="M18" s="19">
        <f>1-((K18-L18)/K18)</f>
        <v>0.85486863951557768</v>
      </c>
    </row>
    <row r="19" spans="1:14" x14ac:dyDescent="0.2">
      <c r="A19" s="9" t="s">
        <v>8</v>
      </c>
      <c r="B19" s="19">
        <v>3102</v>
      </c>
      <c r="C19" s="19">
        <f t="shared" si="2"/>
        <v>172.33333333333334</v>
      </c>
      <c r="D19"/>
      <c r="H19"/>
      <c r="J19" s="42" t="s">
        <v>111</v>
      </c>
      <c r="K19" s="79" t="s">
        <v>112</v>
      </c>
      <c r="L19" s="80"/>
      <c r="M19" s="81"/>
    </row>
    <row r="20" spans="1:14" x14ac:dyDescent="0.2">
      <c r="A20" s="9" t="s">
        <v>34</v>
      </c>
      <c r="B20" s="19">
        <v>3102</v>
      </c>
      <c r="C20" s="19">
        <f t="shared" si="2"/>
        <v>172.33333333333334</v>
      </c>
      <c r="D20"/>
      <c r="N20" s="38"/>
    </row>
    <row r="21" spans="1:14" x14ac:dyDescent="0.2">
      <c r="A21" s="9" t="s">
        <v>99</v>
      </c>
      <c r="B21" s="19">
        <v>3102</v>
      </c>
      <c r="C21" s="19">
        <f t="shared" si="2"/>
        <v>172.33333333333334</v>
      </c>
      <c r="D21"/>
      <c r="N21" s="38"/>
    </row>
    <row r="22" spans="1:14" x14ac:dyDescent="0.2">
      <c r="A22" s="9" t="s">
        <v>100</v>
      </c>
      <c r="B22" s="19">
        <v>3102</v>
      </c>
      <c r="C22" s="19">
        <f t="shared" si="2"/>
        <v>172.33333333333334</v>
      </c>
      <c r="D22"/>
    </row>
    <row r="23" spans="1:14" x14ac:dyDescent="0.2">
      <c r="A23" s="9" t="s">
        <v>101</v>
      </c>
      <c r="B23" s="19">
        <v>250</v>
      </c>
      <c r="C23" s="19">
        <f t="shared" si="2"/>
        <v>13.888888888888889</v>
      </c>
      <c r="D23"/>
      <c r="N23" s="39"/>
    </row>
    <row r="24" spans="1:14" x14ac:dyDescent="0.2">
      <c r="A24" s="9" t="s">
        <v>102</v>
      </c>
      <c r="B24" s="19">
        <v>250</v>
      </c>
      <c r="C24" s="19">
        <f t="shared" si="2"/>
        <v>13.888888888888889</v>
      </c>
      <c r="D24"/>
      <c r="N24" s="39"/>
    </row>
    <row r="25" spans="1:14" x14ac:dyDescent="0.2">
      <c r="A25" s="9" t="s">
        <v>57</v>
      </c>
      <c r="B25" s="19">
        <v>1000</v>
      </c>
      <c r="C25" s="19">
        <f t="shared" si="2"/>
        <v>55.555555555555557</v>
      </c>
      <c r="D25"/>
    </row>
    <row r="26" spans="1:14" ht="13.5" customHeight="1" x14ac:dyDescent="0.2">
      <c r="A26" s="9" t="s">
        <v>58</v>
      </c>
      <c r="B26" s="19">
        <f>70*12</f>
        <v>840</v>
      </c>
      <c r="C26" s="19">
        <f t="shared" si="2"/>
        <v>46.666666666666664</v>
      </c>
      <c r="D26"/>
    </row>
    <row r="27" spans="1:14" ht="13.5" customHeight="1" x14ac:dyDescent="0.2">
      <c r="A27" s="9" t="s">
        <v>103</v>
      </c>
      <c r="B27" s="19">
        <v>1124.8499999999999</v>
      </c>
      <c r="C27" s="19">
        <f t="shared" si="2"/>
        <v>62.49166666666666</v>
      </c>
      <c r="D27"/>
    </row>
    <row r="28" spans="1:14" ht="13.5" customHeight="1" x14ac:dyDescent="0.2">
      <c r="A28" s="9" t="s">
        <v>107</v>
      </c>
      <c r="B28" s="41">
        <f>12*220</f>
        <v>2640</v>
      </c>
      <c r="C28" s="19">
        <f t="shared" si="2"/>
        <v>146.66666666666666</v>
      </c>
      <c r="D28"/>
      <c r="H28"/>
    </row>
    <row r="29" spans="1:14" x14ac:dyDescent="0.2">
      <c r="A29" s="9" t="s">
        <v>108</v>
      </c>
      <c r="B29" s="19">
        <f>3*700</f>
        <v>2100</v>
      </c>
      <c r="C29" s="19">
        <f t="shared" si="2"/>
        <v>116.66666666666667</v>
      </c>
      <c r="D29"/>
    </row>
    <row r="30" spans="1:14" x14ac:dyDescent="0.2">
      <c r="A30" s="9" t="s">
        <v>109</v>
      </c>
      <c r="B30" s="19">
        <f>3*700</f>
        <v>2100</v>
      </c>
      <c r="C30" s="19">
        <f t="shared" si="2"/>
        <v>116.66666666666667</v>
      </c>
      <c r="D30"/>
    </row>
    <row r="31" spans="1:14" x14ac:dyDescent="0.2">
      <c r="A31" s="9" t="s">
        <v>105</v>
      </c>
      <c r="B31" s="41">
        <f>12*220</f>
        <v>2640</v>
      </c>
      <c r="C31" s="19">
        <f t="shared" si="2"/>
        <v>146.66666666666666</v>
      </c>
      <c r="D31"/>
    </row>
    <row r="32" spans="1:14" x14ac:dyDescent="0.2">
      <c r="A32" s="28"/>
      <c r="B32" s="26" t="s">
        <v>33</v>
      </c>
      <c r="C32" s="27">
        <f>SUM(C14:C31)</f>
        <v>12097.825000000001</v>
      </c>
      <c r="D32"/>
    </row>
    <row r="33" spans="1:4" x14ac:dyDescent="0.2">
      <c r="A33" s="7"/>
      <c r="B33" s="8"/>
      <c r="C33" s="8"/>
      <c r="D33"/>
    </row>
    <row r="34" spans="1:4" x14ac:dyDescent="0.2">
      <c r="A34" s="7"/>
      <c r="B34" s="8"/>
      <c r="C34" s="8"/>
      <c r="D34"/>
    </row>
    <row r="35" spans="1:4" x14ac:dyDescent="0.2">
      <c r="A35" s="12" t="s">
        <v>14</v>
      </c>
      <c r="B35" s="13"/>
      <c r="C35" s="13"/>
      <c r="D35"/>
    </row>
    <row r="36" spans="1:4" x14ac:dyDescent="0.2">
      <c r="A36" s="9" t="s">
        <v>9</v>
      </c>
      <c r="B36" s="19"/>
      <c r="C36" s="19"/>
      <c r="D36"/>
    </row>
    <row r="37" spans="1:4" x14ac:dyDescent="0.2">
      <c r="A37" s="9" t="s">
        <v>10</v>
      </c>
      <c r="B37" s="19"/>
      <c r="C37" s="19"/>
      <c r="D37"/>
    </row>
    <row r="38" spans="1:4" x14ac:dyDescent="0.2">
      <c r="A38" s="9" t="s">
        <v>11</v>
      </c>
      <c r="B38" s="19"/>
      <c r="C38" s="19"/>
      <c r="D38"/>
    </row>
    <row r="39" spans="1:4" x14ac:dyDescent="0.2">
      <c r="D39"/>
    </row>
  </sheetData>
  <mergeCells count="1">
    <mergeCell ref="K19:M19"/>
  </mergeCells>
  <phoneticPr fontId="4" type="noConversion"/>
  <pageMargins left="0.75" right="0.75" top="0.36" bottom="0.17" header="0.56000000000000005" footer="0.5"/>
  <pageSetup paperSize="1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85" zoomScaleNormal="85" workbookViewId="0">
      <selection activeCell="A33" sqref="A33:F44"/>
    </sheetView>
  </sheetViews>
  <sheetFormatPr defaultRowHeight="12.75" x14ac:dyDescent="0.2"/>
  <cols>
    <col min="1" max="1" width="21.5703125" customWidth="1"/>
    <col min="2" max="5" width="12.5703125" style="6" bestFit="1" customWidth="1"/>
    <col min="6" max="6" width="14.140625" style="6" bestFit="1" customWidth="1"/>
    <col min="7" max="13" width="12.28515625" style="6" bestFit="1" customWidth="1"/>
    <col min="14" max="14" width="12.28515625" bestFit="1" customWidth="1"/>
    <col min="15" max="15" width="12.28515625" style="6" bestFit="1" customWidth="1"/>
    <col min="16" max="16" width="12.28515625" bestFit="1" customWidth="1"/>
    <col min="17" max="17" width="12.28515625" style="6" bestFit="1" customWidth="1"/>
    <col min="18" max="19" width="12.28515625" bestFit="1" customWidth="1"/>
    <col min="20" max="20" width="14" bestFit="1" customWidth="1"/>
    <col min="21" max="21" width="19" bestFit="1" customWidth="1"/>
    <col min="22" max="22" width="17.85546875" bestFit="1" customWidth="1"/>
    <col min="23" max="23" width="11.7109375" bestFit="1" customWidth="1"/>
    <col min="24" max="24" width="19.28515625" bestFit="1" customWidth="1"/>
    <col min="25" max="36" width="11.28515625" bestFit="1" customWidth="1"/>
    <col min="37" max="37" width="18" bestFit="1" customWidth="1"/>
  </cols>
  <sheetData>
    <row r="1" spans="1:37" ht="15" x14ac:dyDescent="0.25">
      <c r="A1" s="16" t="s">
        <v>29</v>
      </c>
    </row>
    <row r="2" spans="1:37" x14ac:dyDescent="0.2">
      <c r="B2" s="82" t="s">
        <v>175</v>
      </c>
      <c r="C2" s="82"/>
      <c r="D2" s="82"/>
      <c r="E2" s="82" t="s">
        <v>176</v>
      </c>
      <c r="F2" s="82"/>
      <c r="G2" s="82"/>
      <c r="H2" s="84" t="s">
        <v>153</v>
      </c>
      <c r="I2" s="82"/>
      <c r="J2" s="82"/>
      <c r="K2" s="84" t="s">
        <v>152</v>
      </c>
      <c r="L2" s="82"/>
      <c r="M2" s="82"/>
      <c r="N2" s="82" t="s">
        <v>126</v>
      </c>
      <c r="O2" s="82"/>
      <c r="P2" s="82"/>
      <c r="Q2" s="82"/>
      <c r="R2" s="82"/>
      <c r="S2" s="82"/>
      <c r="Y2" s="83" t="s">
        <v>130</v>
      </c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</row>
    <row r="3" spans="1:37" x14ac:dyDescent="0.2">
      <c r="A3" s="9"/>
      <c r="B3" s="24" t="s">
        <v>16</v>
      </c>
      <c r="C3" s="24" t="s">
        <v>17</v>
      </c>
      <c r="D3" s="24" t="s">
        <v>18</v>
      </c>
      <c r="E3" s="24" t="s">
        <v>19</v>
      </c>
      <c r="F3" s="24" t="s">
        <v>20</v>
      </c>
      <c r="G3" s="24" t="s">
        <v>21</v>
      </c>
      <c r="H3" s="24" t="s">
        <v>22</v>
      </c>
      <c r="I3" s="24" t="s">
        <v>23</v>
      </c>
      <c r="J3" s="24" t="s">
        <v>24</v>
      </c>
      <c r="K3" s="24" t="s">
        <v>25</v>
      </c>
      <c r="L3" s="24" t="s">
        <v>26</v>
      </c>
      <c r="M3" s="24" t="s">
        <v>27</v>
      </c>
      <c r="N3" s="24" t="s">
        <v>72</v>
      </c>
      <c r="O3" s="24" t="s">
        <v>73</v>
      </c>
      <c r="P3" s="24" t="s">
        <v>74</v>
      </c>
      <c r="Q3" s="24" t="s">
        <v>75</v>
      </c>
      <c r="R3" s="24" t="s">
        <v>76</v>
      </c>
      <c r="S3" s="24" t="s">
        <v>77</v>
      </c>
      <c r="T3" s="6"/>
      <c r="V3" s="24" t="s">
        <v>31</v>
      </c>
      <c r="X3" s="7"/>
      <c r="Y3" s="24" t="s">
        <v>131</v>
      </c>
      <c r="Z3" s="24" t="s">
        <v>133</v>
      </c>
      <c r="AA3" s="24" t="s">
        <v>134</v>
      </c>
      <c r="AB3" s="24" t="s">
        <v>135</v>
      </c>
      <c r="AC3" s="24" t="s">
        <v>136</v>
      </c>
      <c r="AD3" s="24" t="s">
        <v>137</v>
      </c>
      <c r="AE3" s="24" t="s">
        <v>138</v>
      </c>
      <c r="AF3" s="24" t="s">
        <v>139</v>
      </c>
      <c r="AG3" s="24" t="s">
        <v>140</v>
      </c>
      <c r="AH3" s="24" t="s">
        <v>141</v>
      </c>
      <c r="AI3" s="24" t="s">
        <v>142</v>
      </c>
      <c r="AJ3" s="24" t="s">
        <v>143</v>
      </c>
      <c r="AK3" s="50" t="s">
        <v>31</v>
      </c>
    </row>
    <row r="4" spans="1:37" x14ac:dyDescent="0.2">
      <c r="A4" t="s">
        <v>87</v>
      </c>
      <c r="B4" s="19">
        <f>'Budget Worksheet'!$C$4</f>
        <v>4182.7517598392897</v>
      </c>
      <c r="C4" s="19">
        <f>'Budget Worksheet'!$C$4</f>
        <v>4182.7517598392897</v>
      </c>
      <c r="D4" s="19">
        <f>'Budget Worksheet'!$C$4</f>
        <v>4182.7517598392897</v>
      </c>
      <c r="E4" s="19">
        <f>'Budget Worksheet'!$C$4</f>
        <v>4182.7517598392897</v>
      </c>
      <c r="F4" s="19">
        <f>'Budget Worksheet'!$C$4</f>
        <v>4182.7517598392897</v>
      </c>
      <c r="G4" s="19">
        <f>'Budget Worksheet'!$C$4</f>
        <v>4182.7517598392897</v>
      </c>
      <c r="H4" s="19">
        <f>'Budget Worksheet'!$C$4</f>
        <v>4182.7517598392897</v>
      </c>
      <c r="I4" s="19">
        <f>'Budget Worksheet'!$C$4</f>
        <v>4182.7517598392897</v>
      </c>
      <c r="J4" s="19">
        <f>'Budget Worksheet'!$C$4</f>
        <v>4182.7517598392897</v>
      </c>
      <c r="K4" s="19">
        <f>'Budget Worksheet'!$C$4</f>
        <v>4182.7517598392897</v>
      </c>
      <c r="L4" s="19">
        <f>'Budget Worksheet'!$C$4</f>
        <v>4182.7517598392897</v>
      </c>
      <c r="M4" s="19">
        <f>'Budget Worksheet'!$C$4</f>
        <v>4182.7517598392897</v>
      </c>
      <c r="N4" s="19">
        <f>'Budget Worksheet'!$C$4</f>
        <v>4182.7517598392897</v>
      </c>
      <c r="O4" s="19">
        <f>'Budget Worksheet'!$C$4</f>
        <v>4182.7517598392897</v>
      </c>
      <c r="P4" s="19">
        <f>'Budget Worksheet'!$C$4</f>
        <v>4182.7517598392897</v>
      </c>
      <c r="Q4" s="19">
        <f>'Budget Worksheet'!$C$4</f>
        <v>4182.7517598392897</v>
      </c>
      <c r="R4" s="19">
        <f>'Budget Worksheet'!$C$4</f>
        <v>4182.7517598392897</v>
      </c>
      <c r="S4" s="19">
        <f>'Budget Worksheet'!$C$4</f>
        <v>4182.7517598392897</v>
      </c>
      <c r="T4" s="6"/>
      <c r="V4" s="25">
        <f t="shared" ref="V4:V9" si="0">SUM(B4:S4)</f>
        <v>75289.531677107196</v>
      </c>
      <c r="X4" s="7" t="s">
        <v>78</v>
      </c>
      <c r="Y4" s="49">
        <f>'Budget Worksheet'!$C$4</f>
        <v>4182.7517598392897</v>
      </c>
      <c r="Z4" s="49">
        <f>'Budget Worksheet'!$C$4</f>
        <v>4182.7517598392897</v>
      </c>
      <c r="AA4" s="49">
        <f>'Budget Worksheet'!$C$4</f>
        <v>4182.7517598392897</v>
      </c>
      <c r="AB4" s="49">
        <f>'Budget Worksheet'!$C$4</f>
        <v>4182.7517598392897</v>
      </c>
      <c r="AC4" s="49">
        <f>'Budget Worksheet'!$C$4</f>
        <v>4182.7517598392897</v>
      </c>
      <c r="AD4" s="49">
        <f>'Budget Worksheet'!$C$4</f>
        <v>4182.7517598392897</v>
      </c>
      <c r="AE4" s="49">
        <f>'Budget Worksheet'!$C$4</f>
        <v>4182.7517598392897</v>
      </c>
      <c r="AF4" s="49">
        <f>'Budget Worksheet'!$C$4</f>
        <v>4182.7517598392897</v>
      </c>
      <c r="AG4" s="49">
        <f>'Budget Worksheet'!$C$4</f>
        <v>4182.7517598392897</v>
      </c>
      <c r="AH4" s="49">
        <f>'Budget Worksheet'!$C$4</f>
        <v>4182.7517598392897</v>
      </c>
      <c r="AI4" s="49">
        <f>'Budget Worksheet'!$C$4</f>
        <v>4182.7517598392897</v>
      </c>
      <c r="AJ4" s="49">
        <f>'Budget Worksheet'!$C$4</f>
        <v>4182.7517598392897</v>
      </c>
      <c r="AK4" s="49">
        <f>SUM(Y4:AJ4)</f>
        <v>50193.021118071461</v>
      </c>
    </row>
    <row r="5" spans="1:37" x14ac:dyDescent="0.2">
      <c r="A5" t="s">
        <v>79</v>
      </c>
      <c r="B5" s="19">
        <f>'Budget Worksheet'!$C$6</f>
        <v>5912.7481835513072</v>
      </c>
      <c r="C5" s="19">
        <f>'Budget Worksheet'!$C$6</f>
        <v>5912.7481835513072</v>
      </c>
      <c r="D5" s="19">
        <f>'Budget Worksheet'!$C$6</f>
        <v>5912.7481835513072</v>
      </c>
      <c r="E5" s="19">
        <f>'Budget Worksheet'!$C$6</f>
        <v>5912.7481835513072</v>
      </c>
      <c r="F5" s="19">
        <f>'Budget Worksheet'!$C$6</f>
        <v>5912.7481835513072</v>
      </c>
      <c r="G5" s="19">
        <f>'Budget Worksheet'!$C$6</f>
        <v>5912.7481835513072</v>
      </c>
      <c r="H5" s="19">
        <f>'Budget Worksheet'!$C$6</f>
        <v>5912.7481835513072</v>
      </c>
      <c r="I5" s="19">
        <f>'Budget Worksheet'!$C$6</f>
        <v>5912.7481835513072</v>
      </c>
      <c r="J5" s="19">
        <f>'Budget Worksheet'!$C$6</f>
        <v>5912.7481835513072</v>
      </c>
      <c r="K5" s="19">
        <f>'Budget Worksheet'!$C$6</f>
        <v>5912.7481835513072</v>
      </c>
      <c r="L5" s="19">
        <f>'Budget Worksheet'!$C$6</f>
        <v>5912.7481835513072</v>
      </c>
      <c r="M5" s="19">
        <f>'Budget Worksheet'!$C$6</f>
        <v>5912.7481835513072</v>
      </c>
      <c r="N5" s="19">
        <f>'Budget Worksheet'!$C$6</f>
        <v>5912.7481835513072</v>
      </c>
      <c r="O5" s="19">
        <f>'Budget Worksheet'!$C$6</f>
        <v>5912.7481835513072</v>
      </c>
      <c r="P5" s="19">
        <f>'Budget Worksheet'!$C$6</f>
        <v>5912.7481835513072</v>
      </c>
      <c r="Q5" s="19">
        <f>'Budget Worksheet'!$C$6</f>
        <v>5912.7481835513072</v>
      </c>
      <c r="R5" s="19">
        <f>'Budget Worksheet'!$C$6</f>
        <v>5912.7481835513072</v>
      </c>
      <c r="S5" s="19">
        <f>'Budget Worksheet'!$C$6</f>
        <v>5912.7481835513072</v>
      </c>
      <c r="T5" s="6"/>
      <c r="V5" s="25">
        <f t="shared" si="0"/>
        <v>106429.46730392352</v>
      </c>
      <c r="X5" s="7" t="s">
        <v>132</v>
      </c>
      <c r="Y5" s="49">
        <f>'Budget Worksheet'!$C$11</f>
        <v>6171.9806035745678</v>
      </c>
      <c r="Z5" s="49">
        <f>'Budget Worksheet'!$C$11</f>
        <v>6171.9806035745678</v>
      </c>
      <c r="AA5" s="49">
        <f>'Budget Worksheet'!$C$11</f>
        <v>6171.9806035745678</v>
      </c>
      <c r="AB5" s="49">
        <f>'Budget Worksheet'!$C$11</f>
        <v>6171.9806035745678</v>
      </c>
      <c r="AC5" s="49">
        <f>'Budget Worksheet'!$C$11</f>
        <v>6171.9806035745678</v>
      </c>
      <c r="AD5" s="49">
        <f>'Budget Worksheet'!$C$11</f>
        <v>6171.9806035745678</v>
      </c>
      <c r="AE5" s="49">
        <f>'Budget Worksheet'!$C$11</f>
        <v>6171.9806035745678</v>
      </c>
      <c r="AF5" s="49">
        <f>'Budget Worksheet'!$C$11</f>
        <v>6171.9806035745678</v>
      </c>
      <c r="AG5" s="49">
        <f>'Budget Worksheet'!$C$11</f>
        <v>6171.9806035745678</v>
      </c>
      <c r="AH5" s="49">
        <f>'Budget Worksheet'!$C$11</f>
        <v>6171.9806035745678</v>
      </c>
      <c r="AI5" s="49">
        <f>'Budget Worksheet'!$C$11</f>
        <v>6171.9806035745678</v>
      </c>
      <c r="AJ5" s="49">
        <f>'Budget Worksheet'!$C$11</f>
        <v>6171.9806035745678</v>
      </c>
      <c r="AK5" s="49">
        <f>SUM(Y5:AJ5)</f>
        <v>74063.767242894828</v>
      </c>
    </row>
    <row r="6" spans="1:37" x14ac:dyDescent="0.2">
      <c r="A6" t="s">
        <v>81</v>
      </c>
      <c r="B6" s="19">
        <f>'Budget Worksheet'!$C$7</f>
        <v>4734.1094881947502</v>
      </c>
      <c r="C6" s="19">
        <f>'Budget Worksheet'!$C$7</f>
        <v>4734.1094881947502</v>
      </c>
      <c r="D6" s="19">
        <f>'Budget Worksheet'!$C$7</f>
        <v>4734.1094881947502</v>
      </c>
      <c r="E6" s="19">
        <f>'Budget Worksheet'!$C$7</f>
        <v>4734.1094881947502</v>
      </c>
      <c r="F6" s="19">
        <f>'Budget Worksheet'!$C$7</f>
        <v>4734.1094881947502</v>
      </c>
      <c r="G6" s="19">
        <f>'Budget Worksheet'!$C$7</f>
        <v>4734.1094881947502</v>
      </c>
      <c r="H6" s="19">
        <f>'Budget Worksheet'!$C$7</f>
        <v>4734.1094881947502</v>
      </c>
      <c r="I6" s="19">
        <f>'Budget Worksheet'!$C$7</f>
        <v>4734.1094881947502</v>
      </c>
      <c r="J6" s="19">
        <f>'Budget Worksheet'!$C$7</f>
        <v>4734.1094881947502</v>
      </c>
      <c r="K6" s="19">
        <f>'Budget Worksheet'!$C$7</f>
        <v>4734.1094881947502</v>
      </c>
      <c r="L6" s="19">
        <f>'Budget Worksheet'!$C$7</f>
        <v>4734.1094881947502</v>
      </c>
      <c r="M6" s="19">
        <f>'Budget Worksheet'!$C$7</f>
        <v>4734.1094881947502</v>
      </c>
      <c r="N6" s="19">
        <f>'Budget Worksheet'!$C$7</f>
        <v>4734.1094881947502</v>
      </c>
      <c r="O6" s="19">
        <f>'Budget Worksheet'!$C$7</f>
        <v>4734.1094881947502</v>
      </c>
      <c r="P6" s="19">
        <f>'Budget Worksheet'!$C$7</f>
        <v>4734.1094881947502</v>
      </c>
      <c r="Q6" s="19">
        <f>'Budget Worksheet'!$C$7</f>
        <v>4734.1094881947502</v>
      </c>
      <c r="R6" s="19">
        <f>'Budget Worksheet'!$C$7</f>
        <v>4734.1094881947502</v>
      </c>
      <c r="S6" s="19">
        <f>'Budget Worksheet'!$C$7</f>
        <v>4734.1094881947502</v>
      </c>
      <c r="T6" s="6"/>
      <c r="V6" s="25">
        <f t="shared" si="0"/>
        <v>85213.970787505503</v>
      </c>
      <c r="X6" s="7" t="s">
        <v>81</v>
      </c>
      <c r="Y6" s="49">
        <f>'Budget Worksheet'!$C$7</f>
        <v>4734.1094881947502</v>
      </c>
      <c r="Z6" s="49">
        <f>'Budget Worksheet'!$C$7</f>
        <v>4734.1094881947502</v>
      </c>
      <c r="AA6" s="49">
        <f>'Budget Worksheet'!$C$7</f>
        <v>4734.1094881947502</v>
      </c>
      <c r="AB6" s="49">
        <f>'Budget Worksheet'!$C$7</f>
        <v>4734.1094881947502</v>
      </c>
      <c r="AC6" s="49">
        <f>'Budget Worksheet'!$C$7</f>
        <v>4734.1094881947502</v>
      </c>
      <c r="AD6" s="49">
        <f>'Budget Worksheet'!$C$7</f>
        <v>4734.1094881947502</v>
      </c>
      <c r="AE6" s="49">
        <f>'Budget Worksheet'!$C$7</f>
        <v>4734.1094881947502</v>
      </c>
      <c r="AF6" s="49">
        <f>'Budget Worksheet'!$C$7</f>
        <v>4734.1094881947502</v>
      </c>
      <c r="AG6" s="49">
        <f>'Budget Worksheet'!$C$7</f>
        <v>4734.1094881947502</v>
      </c>
      <c r="AH6" s="49">
        <f>'Budget Worksheet'!$C$7</f>
        <v>4734.1094881947502</v>
      </c>
      <c r="AI6" s="49">
        <f>'Budget Worksheet'!$C$7</f>
        <v>4734.1094881947502</v>
      </c>
      <c r="AJ6" s="49">
        <f>'Budget Worksheet'!$C$7</f>
        <v>4734.1094881947502</v>
      </c>
      <c r="AK6" s="49">
        <f>SUM(Y6:AJ6)</f>
        <v>56809.313858337002</v>
      </c>
    </row>
    <row r="7" spans="1:37" x14ac:dyDescent="0.2">
      <c r="A7" t="s">
        <v>83</v>
      </c>
      <c r="B7" s="19">
        <f>'Budget Worksheet'!$C$9</f>
        <v>4994.6893945247448</v>
      </c>
      <c r="C7" s="19">
        <f>'Budget Worksheet'!$C$9</f>
        <v>4994.6893945247448</v>
      </c>
      <c r="D7" s="19">
        <f>'Budget Worksheet'!$C$9</f>
        <v>4994.6893945247448</v>
      </c>
      <c r="E7" s="19">
        <f>'Budget Worksheet'!$C$9</f>
        <v>4994.6893945247448</v>
      </c>
      <c r="F7" s="19">
        <f>'Budget Worksheet'!$C$9</f>
        <v>4994.6893945247448</v>
      </c>
      <c r="G7" s="19">
        <f>'Budget Worksheet'!$C$9</f>
        <v>4994.6893945247448</v>
      </c>
      <c r="H7" s="19">
        <f>'Budget Worksheet'!$C$9</f>
        <v>4994.6893945247448</v>
      </c>
      <c r="I7" s="19">
        <f>'Budget Worksheet'!$C$9</f>
        <v>4994.6893945247448</v>
      </c>
      <c r="J7" s="19">
        <f>'Budget Worksheet'!$C$9</f>
        <v>4994.6893945247448</v>
      </c>
      <c r="K7" s="19">
        <f>'Budget Worksheet'!$C$9</f>
        <v>4994.6893945247448</v>
      </c>
      <c r="L7" s="19">
        <f>'Budget Worksheet'!$C$9</f>
        <v>4994.6893945247448</v>
      </c>
      <c r="M7" s="19">
        <f>'Budget Worksheet'!$C$9</f>
        <v>4994.6893945247448</v>
      </c>
      <c r="N7" s="19">
        <f>'Budget Worksheet'!$C$9</f>
        <v>4994.6893945247448</v>
      </c>
      <c r="O7" s="19">
        <f>'Budget Worksheet'!$C$9</f>
        <v>4994.6893945247448</v>
      </c>
      <c r="P7" s="19">
        <f>'Budget Worksheet'!$C$9</f>
        <v>4994.6893945247448</v>
      </c>
      <c r="Q7" s="19">
        <f>'Budget Worksheet'!$C$9</f>
        <v>4994.6893945247448</v>
      </c>
      <c r="R7" s="19">
        <f>'Budget Worksheet'!$C$9</f>
        <v>4994.6893945247448</v>
      </c>
      <c r="S7" s="19">
        <f>'Budget Worksheet'!$C$9</f>
        <v>4994.6893945247448</v>
      </c>
      <c r="T7" s="6"/>
      <c r="V7" s="25">
        <f t="shared" si="0"/>
        <v>89904.409101445388</v>
      </c>
      <c r="X7" s="7" t="s">
        <v>81</v>
      </c>
      <c r="Y7" s="49">
        <f>'Budget Worksheet'!$C$7</f>
        <v>4734.1094881947502</v>
      </c>
      <c r="Z7" s="49">
        <f>'Budget Worksheet'!$C$7</f>
        <v>4734.1094881947502</v>
      </c>
      <c r="AA7" s="49">
        <f>'Budget Worksheet'!$C$7</f>
        <v>4734.1094881947502</v>
      </c>
      <c r="AB7" s="49">
        <f>'Budget Worksheet'!$C$7</f>
        <v>4734.1094881947502</v>
      </c>
      <c r="AC7" s="49">
        <f>'Budget Worksheet'!$C$7</f>
        <v>4734.1094881947502</v>
      </c>
      <c r="AD7" s="49">
        <f>'Budget Worksheet'!$C$7</f>
        <v>4734.1094881947502</v>
      </c>
      <c r="AE7" s="49">
        <f>'Budget Worksheet'!$C$7</f>
        <v>4734.1094881947502</v>
      </c>
      <c r="AF7" s="49">
        <f>'Budget Worksheet'!$C$7</f>
        <v>4734.1094881947502</v>
      </c>
      <c r="AG7" s="49">
        <f>'Budget Worksheet'!$C$7</f>
        <v>4734.1094881947502</v>
      </c>
      <c r="AH7" s="49">
        <f>'Budget Worksheet'!$C$7</f>
        <v>4734.1094881947502</v>
      </c>
      <c r="AI7" s="49">
        <f>'Budget Worksheet'!$C$7</f>
        <v>4734.1094881947502</v>
      </c>
      <c r="AJ7" s="49">
        <f>'Budget Worksheet'!$C$7</f>
        <v>4734.1094881947502</v>
      </c>
      <c r="AK7" s="49">
        <f>SUM(Y7:AJ7)</f>
        <v>56809.313858337002</v>
      </c>
    </row>
    <row r="8" spans="1:37" x14ac:dyDescent="0.2">
      <c r="A8" t="s">
        <v>84</v>
      </c>
      <c r="B8" s="19">
        <f>'Budget Worksheet'!$C$10</f>
        <v>7999.9462154507273</v>
      </c>
      <c r="C8" s="19">
        <f>'Budget Worksheet'!$C$10</f>
        <v>7999.9462154507273</v>
      </c>
      <c r="D8" s="19">
        <f>'Budget Worksheet'!$C$10</f>
        <v>7999.9462154507273</v>
      </c>
      <c r="E8" s="19">
        <f>'Budget Worksheet'!$C$10</f>
        <v>7999.9462154507273</v>
      </c>
      <c r="F8" s="19">
        <f>'Budget Worksheet'!$C$10</f>
        <v>7999.9462154507273</v>
      </c>
      <c r="G8" s="19">
        <f>'Budget Worksheet'!$C$10</f>
        <v>7999.9462154507273</v>
      </c>
      <c r="H8" s="19">
        <f>'Budget Worksheet'!$C$10</f>
        <v>7999.9462154507273</v>
      </c>
      <c r="I8" s="19">
        <f>'Budget Worksheet'!$C$10</f>
        <v>7999.9462154507273</v>
      </c>
      <c r="J8" s="19">
        <f>'Budget Worksheet'!$C$10</f>
        <v>7999.9462154507273</v>
      </c>
      <c r="K8" s="19">
        <f>'Budget Worksheet'!$C$10</f>
        <v>7999.9462154507273</v>
      </c>
      <c r="L8" s="19">
        <f>'Budget Worksheet'!$C$10</f>
        <v>7999.9462154507273</v>
      </c>
      <c r="M8" s="19">
        <f>'Budget Worksheet'!$C$10</f>
        <v>7999.9462154507273</v>
      </c>
      <c r="N8" s="19">
        <f>'Budget Worksheet'!$C$10</f>
        <v>7999.9462154507273</v>
      </c>
      <c r="O8" s="19">
        <f>'Budget Worksheet'!$C$10</f>
        <v>7999.9462154507273</v>
      </c>
      <c r="P8" s="19">
        <f>'Budget Worksheet'!$C$10</f>
        <v>7999.9462154507273</v>
      </c>
      <c r="Q8" s="19">
        <f>'Budget Worksheet'!$C$10</f>
        <v>7999.9462154507273</v>
      </c>
      <c r="R8" s="19">
        <f>'Budget Worksheet'!$C$10</f>
        <v>7999.9462154507273</v>
      </c>
      <c r="S8" s="19">
        <f>'Budget Worksheet'!$C$10</f>
        <v>7999.9462154507273</v>
      </c>
      <c r="T8" s="6"/>
      <c r="V8" s="25">
        <f t="shared" si="0"/>
        <v>143999.03187811316</v>
      </c>
    </row>
    <row r="9" spans="1:37" x14ac:dyDescent="0.2">
      <c r="A9" t="s">
        <v>85</v>
      </c>
      <c r="B9" s="19">
        <f>'Budget Worksheet'!$C$11</f>
        <v>6171.9806035745678</v>
      </c>
      <c r="C9" s="19">
        <f>'Budget Worksheet'!$C$11</f>
        <v>6171.9806035745678</v>
      </c>
      <c r="D9" s="19">
        <f>'Budget Worksheet'!$C$11</f>
        <v>6171.9806035745678</v>
      </c>
      <c r="E9" s="19">
        <f>'Budget Worksheet'!$C$11</f>
        <v>6171.9806035745678</v>
      </c>
      <c r="F9" s="19">
        <f>'Budget Worksheet'!$C$11</f>
        <v>6171.9806035745678</v>
      </c>
      <c r="G9" s="19">
        <f>'Budget Worksheet'!$C$11</f>
        <v>6171.9806035745678</v>
      </c>
      <c r="H9" s="19">
        <f>'Budget Worksheet'!$C$11</f>
        <v>6171.9806035745678</v>
      </c>
      <c r="I9" s="19">
        <f>'Budget Worksheet'!$C$11</f>
        <v>6171.9806035745678</v>
      </c>
      <c r="J9" s="19">
        <f>'Budget Worksheet'!$C$11</f>
        <v>6171.9806035745678</v>
      </c>
      <c r="K9" s="19">
        <f>'Budget Worksheet'!$C$11</f>
        <v>6171.9806035745678</v>
      </c>
      <c r="L9" s="19">
        <f>'Budget Worksheet'!$C$11</f>
        <v>6171.9806035745678</v>
      </c>
      <c r="M9" s="19">
        <f>'Budget Worksheet'!$C$11</f>
        <v>6171.9806035745678</v>
      </c>
      <c r="N9" s="19">
        <f>'Budget Worksheet'!$C$11</f>
        <v>6171.9806035745678</v>
      </c>
      <c r="O9" s="19">
        <f>'Budget Worksheet'!$C$11</f>
        <v>6171.9806035745678</v>
      </c>
      <c r="P9" s="19">
        <f>'Budget Worksheet'!$C$11</f>
        <v>6171.9806035745678</v>
      </c>
      <c r="Q9" s="19">
        <f>'Budget Worksheet'!$C$11</f>
        <v>6171.9806035745678</v>
      </c>
      <c r="R9" s="19">
        <f>'Budget Worksheet'!$C$11</f>
        <v>6171.9806035745678</v>
      </c>
      <c r="S9" s="19">
        <f>'Budget Worksheet'!$C$11</f>
        <v>6171.9806035745678</v>
      </c>
      <c r="T9" s="6"/>
      <c r="V9" s="25">
        <f t="shared" si="0"/>
        <v>111095.65086434226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x14ac:dyDescent="0.2">
      <c r="A10" s="2" t="s">
        <v>113</v>
      </c>
      <c r="B10" s="19">
        <f>'Budget Worksheet'!$C$12</f>
        <v>5031.3</v>
      </c>
      <c r="C10" s="19">
        <f>'Budget Worksheet'!$C$12</f>
        <v>5031.3</v>
      </c>
      <c r="D10" s="19">
        <f>'Budget Worksheet'!$C$12</f>
        <v>5031.3</v>
      </c>
      <c r="E10" s="19">
        <f>'Budget Worksheet'!$C$12</f>
        <v>5031.3</v>
      </c>
      <c r="F10" s="19">
        <f>'Budget Worksheet'!$C$12</f>
        <v>5031.3</v>
      </c>
      <c r="G10" s="19">
        <f>'Budget Worksheet'!$C$12</f>
        <v>5031.3</v>
      </c>
      <c r="H10" s="19">
        <f>'Budget Worksheet'!$C$12</f>
        <v>5031.3</v>
      </c>
      <c r="I10" s="19">
        <f>'Budget Worksheet'!$C$12</f>
        <v>5031.3</v>
      </c>
      <c r="J10" s="19">
        <f>'Budget Worksheet'!$C$12</f>
        <v>5031.3</v>
      </c>
      <c r="K10" s="19">
        <f>'Budget Worksheet'!$C$12</f>
        <v>5031.3</v>
      </c>
      <c r="L10" s="19">
        <f>'Budget Worksheet'!$C$12</f>
        <v>5031.3</v>
      </c>
      <c r="M10" s="19">
        <f>'Budget Worksheet'!$C$12</f>
        <v>5031.3</v>
      </c>
      <c r="N10" s="19">
        <f>'Budget Worksheet'!$C$12</f>
        <v>5031.3</v>
      </c>
      <c r="O10" s="19">
        <f>'Budget Worksheet'!$C$12</f>
        <v>5031.3</v>
      </c>
      <c r="P10" s="19">
        <f>'Budget Worksheet'!$C$12</f>
        <v>5031.3</v>
      </c>
      <c r="Q10" s="19">
        <f>'Budget Worksheet'!$C$12</f>
        <v>5031.3</v>
      </c>
      <c r="R10" s="19">
        <f>'Budget Worksheet'!$C$12</f>
        <v>5031.3</v>
      </c>
      <c r="S10" s="19">
        <f>'Budget Worksheet'!$C$12</f>
        <v>5031.3</v>
      </c>
      <c r="T10" s="6"/>
      <c r="V10" s="25">
        <f>SUM(B10:S10)</f>
        <v>90563.400000000023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x14ac:dyDescent="0.2">
      <c r="T11" s="6"/>
      <c r="V11" s="25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x14ac:dyDescent="0.2">
      <c r="T12" s="6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x14ac:dyDescent="0.2">
      <c r="A13" s="22" t="s">
        <v>13</v>
      </c>
      <c r="B13" s="19">
        <f>'Budget Worksheet'!$C$32</f>
        <v>12097.825000000001</v>
      </c>
      <c r="C13" s="19">
        <f>'Budget Worksheet'!$C$32</f>
        <v>12097.825000000001</v>
      </c>
      <c r="D13" s="19">
        <f>'Budget Worksheet'!$C$32</f>
        <v>12097.825000000001</v>
      </c>
      <c r="E13" s="19">
        <f>'Budget Worksheet'!$C$32</f>
        <v>12097.825000000001</v>
      </c>
      <c r="F13" s="19">
        <f>'Budget Worksheet'!$C$32</f>
        <v>12097.825000000001</v>
      </c>
      <c r="G13" s="19">
        <f>'Budget Worksheet'!$C$32</f>
        <v>12097.825000000001</v>
      </c>
      <c r="H13" s="19">
        <f>'Budget Worksheet'!$C$32</f>
        <v>12097.825000000001</v>
      </c>
      <c r="I13" s="19">
        <f>'Budget Worksheet'!$C$32</f>
        <v>12097.825000000001</v>
      </c>
      <c r="J13" s="19">
        <f>'Budget Worksheet'!$C$32</f>
        <v>12097.825000000001</v>
      </c>
      <c r="K13" s="19">
        <f>'Budget Worksheet'!$C$32</f>
        <v>12097.825000000001</v>
      </c>
      <c r="L13" s="19">
        <f>'Budget Worksheet'!$C$32</f>
        <v>12097.825000000001</v>
      </c>
      <c r="M13" s="19">
        <f>'Budget Worksheet'!$C$32</f>
        <v>12097.825000000001</v>
      </c>
      <c r="N13" s="19">
        <f>'Budget Worksheet'!$C$32</f>
        <v>12097.825000000001</v>
      </c>
      <c r="O13" s="19">
        <f>'Budget Worksheet'!$C$32</f>
        <v>12097.825000000001</v>
      </c>
      <c r="P13" s="19">
        <f>'Budget Worksheet'!$C$32</f>
        <v>12097.825000000001</v>
      </c>
      <c r="Q13" s="19">
        <f>'Budget Worksheet'!$C$32</f>
        <v>12097.825000000001</v>
      </c>
      <c r="R13" s="19">
        <f>'Budget Worksheet'!$C$32</f>
        <v>12097.825000000001</v>
      </c>
      <c r="S13" s="19">
        <f>'Budget Worksheet'!$C$32</f>
        <v>12097.825000000001</v>
      </c>
      <c r="T13" s="6"/>
      <c r="V13" s="37">
        <f>SUM(B13:U13)</f>
        <v>217760.85000000006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x14ac:dyDescent="0.2">
      <c r="A14" s="2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6"/>
      <c r="V14" s="25"/>
      <c r="X14" s="7" t="s">
        <v>144</v>
      </c>
      <c r="Y14" s="51">
        <f>SUM('Budget Worksheet'!$B$23,'Budget Worksheet'!$B$24,'Budget Worksheet'!$B$15,'Budget Worksheet'!$B$16,'Budget Worksheet'!$B$17,'Budget Worksheet'!$B$18,'Budget Worksheet'!$B$31,'Budget Worksheet'!$B$29,'Budget Worksheet'!$B$25)/12</f>
        <v>1554</v>
      </c>
      <c r="Z14" s="51">
        <f>SUM('Budget Worksheet'!$B$23,'Budget Worksheet'!$B$24,'Budget Worksheet'!$B$15,'Budget Worksheet'!$B$16,'Budget Worksheet'!$B$17,'Budget Worksheet'!$B$18,'Budget Worksheet'!$B$31,'Budget Worksheet'!$B$29,'Budget Worksheet'!$B$25)/12</f>
        <v>1554</v>
      </c>
      <c r="AA14" s="51">
        <f>SUM('Budget Worksheet'!$B$23,'Budget Worksheet'!$B$24,'Budget Worksheet'!$B$15,'Budget Worksheet'!$B$16,'Budget Worksheet'!$B$17,'Budget Worksheet'!$B$18,'Budget Worksheet'!$B$31,'Budget Worksheet'!$B$29,'Budget Worksheet'!$B$25)/12</f>
        <v>1554</v>
      </c>
      <c r="AB14" s="51">
        <f>SUM('Budget Worksheet'!$B$23,'Budget Worksheet'!$B$24,'Budget Worksheet'!$B$15,'Budget Worksheet'!$B$16,'Budget Worksheet'!$B$17,'Budget Worksheet'!$B$18,'Budget Worksheet'!$B$31,'Budget Worksheet'!$B$29,'Budget Worksheet'!$B$25)/12</f>
        <v>1554</v>
      </c>
      <c r="AC14" s="51">
        <f>SUM('Budget Worksheet'!$B$23,'Budget Worksheet'!$B$24,'Budget Worksheet'!$B$15,'Budget Worksheet'!$B$16,'Budget Worksheet'!$B$17,'Budget Worksheet'!$B$18,'Budget Worksheet'!$B$31,'Budget Worksheet'!$B$29,'Budget Worksheet'!$B$25)/12</f>
        <v>1554</v>
      </c>
      <c r="AD14" s="51">
        <f>SUM('Budget Worksheet'!$B$23,'Budget Worksheet'!$B$24,'Budget Worksheet'!$B$15,'Budget Worksheet'!$B$16,'Budget Worksheet'!$B$17,'Budget Worksheet'!$B$18,'Budget Worksheet'!$B$31,'Budget Worksheet'!$B$29,'Budget Worksheet'!$B$25)/12</f>
        <v>1554</v>
      </c>
      <c r="AE14" s="51">
        <f>SUM('Budget Worksheet'!$B$23,'Budget Worksheet'!$B$24,'Budget Worksheet'!$B$15,'Budget Worksheet'!$B$16,'Budget Worksheet'!$B$17,'Budget Worksheet'!$B$18,'Budget Worksheet'!$B$31,'Budget Worksheet'!$B$29,'Budget Worksheet'!$B$25)/12</f>
        <v>1554</v>
      </c>
      <c r="AF14" s="51">
        <f>SUM('Budget Worksheet'!$B$23,'Budget Worksheet'!$B$24,'Budget Worksheet'!$B$15,'Budget Worksheet'!$B$16,'Budget Worksheet'!$B$17,'Budget Worksheet'!$B$18,'Budget Worksheet'!$B$31,'Budget Worksheet'!$B$29,'Budget Worksheet'!$B$25)/12</f>
        <v>1554</v>
      </c>
      <c r="AG14" s="51">
        <f>SUM('Budget Worksheet'!$B$23,'Budget Worksheet'!$B$24,'Budget Worksheet'!$B$15,'Budget Worksheet'!$B$16,'Budget Worksheet'!$B$17,'Budget Worksheet'!$B$18,'Budget Worksheet'!$B$31,'Budget Worksheet'!$B$29,'Budget Worksheet'!$B$25)/12</f>
        <v>1554</v>
      </c>
      <c r="AH14" s="51">
        <f>SUM('Budget Worksheet'!$B$23,'Budget Worksheet'!$B$24,'Budget Worksheet'!$B$15,'Budget Worksheet'!$B$16,'Budget Worksheet'!$B$17,'Budget Worksheet'!$B$18,'Budget Worksheet'!$B$31,'Budget Worksheet'!$B$29,'Budget Worksheet'!$B$25)/12</f>
        <v>1554</v>
      </c>
      <c r="AI14" s="51">
        <f>SUM('Budget Worksheet'!$B$23,'Budget Worksheet'!$B$24,'Budget Worksheet'!$B$15,'Budget Worksheet'!$B$16,'Budget Worksheet'!$B$17,'Budget Worksheet'!$B$18,'Budget Worksheet'!$B$31,'Budget Worksheet'!$B$29,'Budget Worksheet'!$B$25)/12</f>
        <v>1554</v>
      </c>
      <c r="AJ14" s="51">
        <f>SUM('Budget Worksheet'!$B$23,'Budget Worksheet'!$B$24,'Budget Worksheet'!$B$15,'Budget Worksheet'!$B$16,'Budget Worksheet'!$B$17,'Budget Worksheet'!$B$18,'Budget Worksheet'!$B$31,'Budget Worksheet'!$B$29,'Budget Worksheet'!$B$25)/12</f>
        <v>1554</v>
      </c>
      <c r="AK14" s="51">
        <f>SUM(Y14:AJ14)</f>
        <v>18648</v>
      </c>
    </row>
    <row r="15" spans="1:37" x14ac:dyDescent="0.2">
      <c r="A15" s="22"/>
      <c r="B15" s="19"/>
      <c r="C15" s="19"/>
      <c r="E15" s="19"/>
      <c r="F15" s="19"/>
      <c r="H15" s="19"/>
      <c r="I15" s="19"/>
      <c r="K15" s="19"/>
      <c r="L15" s="19"/>
      <c r="N15" s="19"/>
      <c r="O15" s="19"/>
      <c r="P15" s="19"/>
      <c r="Q15" s="19"/>
      <c r="R15" s="19"/>
      <c r="S15" s="19"/>
      <c r="T15" s="6"/>
      <c r="V15" s="25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x14ac:dyDescent="0.2">
      <c r="A16" s="2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6"/>
      <c r="V16" s="25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41" x14ac:dyDescent="0.2">
      <c r="A17" s="22" t="s">
        <v>28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"/>
      <c r="V17" s="25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41" x14ac:dyDescent="0.2">
      <c r="N18" s="6"/>
      <c r="P18" s="6"/>
      <c r="R18" s="6"/>
      <c r="S18" s="6"/>
      <c r="T18" s="6"/>
      <c r="V18" s="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41" x14ac:dyDescent="0.2">
      <c r="N19" s="6"/>
      <c r="P19" s="6"/>
      <c r="R19" s="6"/>
      <c r="S19" s="6"/>
      <c r="T19" s="6"/>
      <c r="V19" s="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41" x14ac:dyDescent="0.2">
      <c r="N20" s="6"/>
      <c r="P20" s="6"/>
      <c r="R20" s="6"/>
      <c r="S20" s="6"/>
      <c r="T20" s="6"/>
      <c r="V20" s="6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2"/>
    </row>
    <row r="21" spans="1:41" x14ac:dyDescent="0.2">
      <c r="A21" s="23" t="s">
        <v>30</v>
      </c>
      <c r="B21" s="25">
        <f t="shared" ref="B21:S21" si="1">SUM(B4:B17)</f>
        <v>51125.35064513539</v>
      </c>
      <c r="C21" s="25">
        <f t="shared" si="1"/>
        <v>51125.35064513539</v>
      </c>
      <c r="D21" s="25">
        <f t="shared" si="1"/>
        <v>51125.35064513539</v>
      </c>
      <c r="E21" s="25">
        <f t="shared" si="1"/>
        <v>51125.35064513539</v>
      </c>
      <c r="F21" s="25">
        <f t="shared" si="1"/>
        <v>51125.35064513539</v>
      </c>
      <c r="G21" s="25">
        <f t="shared" si="1"/>
        <v>51125.35064513539</v>
      </c>
      <c r="H21" s="25">
        <f t="shared" si="1"/>
        <v>51125.35064513539</v>
      </c>
      <c r="I21" s="25">
        <f t="shared" si="1"/>
        <v>51125.35064513539</v>
      </c>
      <c r="J21" s="25">
        <f t="shared" si="1"/>
        <v>51125.35064513539</v>
      </c>
      <c r="K21" s="25">
        <f t="shared" si="1"/>
        <v>51125.35064513539</v>
      </c>
      <c r="L21" s="25">
        <f t="shared" si="1"/>
        <v>51125.35064513539</v>
      </c>
      <c r="M21" s="25">
        <f t="shared" si="1"/>
        <v>51125.35064513539</v>
      </c>
      <c r="N21" s="25">
        <f t="shared" si="1"/>
        <v>51125.35064513539</v>
      </c>
      <c r="O21" s="25">
        <f t="shared" si="1"/>
        <v>51125.35064513539</v>
      </c>
      <c r="P21" s="25">
        <f t="shared" si="1"/>
        <v>51125.35064513539</v>
      </c>
      <c r="Q21" s="25">
        <f t="shared" si="1"/>
        <v>51125.35064513539</v>
      </c>
      <c r="R21" s="25">
        <f t="shared" si="1"/>
        <v>51125.35064513539</v>
      </c>
      <c r="S21" s="25">
        <f t="shared" si="1"/>
        <v>51125.35064513539</v>
      </c>
      <c r="T21" s="21">
        <f>SUM(B21:S21)</f>
        <v>920256.31161243701</v>
      </c>
      <c r="U21" s="20" t="s">
        <v>32</v>
      </c>
      <c r="V21" s="21">
        <f>SUM(V4:V17)</f>
        <v>920256.31161243713</v>
      </c>
      <c r="X21" s="7"/>
      <c r="Y21" s="25">
        <f t="shared" ref="Y21:AJ21" si="2">SUM(Y4:Y20)</f>
        <v>21376.95133980336</v>
      </c>
      <c r="Z21" s="25">
        <f t="shared" si="2"/>
        <v>21376.95133980336</v>
      </c>
      <c r="AA21" s="25">
        <f t="shared" si="2"/>
        <v>21376.95133980336</v>
      </c>
      <c r="AB21" s="25">
        <f t="shared" si="2"/>
        <v>21376.95133980336</v>
      </c>
      <c r="AC21" s="25">
        <f t="shared" si="2"/>
        <v>21376.95133980336</v>
      </c>
      <c r="AD21" s="25">
        <f t="shared" si="2"/>
        <v>21376.95133980336</v>
      </c>
      <c r="AE21" s="25">
        <f t="shared" si="2"/>
        <v>21376.95133980336</v>
      </c>
      <c r="AF21" s="25">
        <f t="shared" si="2"/>
        <v>21376.95133980336</v>
      </c>
      <c r="AG21" s="25">
        <f t="shared" si="2"/>
        <v>21376.95133980336</v>
      </c>
      <c r="AH21" s="25">
        <f t="shared" si="2"/>
        <v>21376.95133980336</v>
      </c>
      <c r="AI21" s="25">
        <f t="shared" si="2"/>
        <v>21376.95133980336</v>
      </c>
      <c r="AJ21" s="25">
        <f t="shared" si="2"/>
        <v>21376.95133980336</v>
      </c>
      <c r="AK21" s="21">
        <f>SUM(AK4:AK20)</f>
        <v>256523.41607764029</v>
      </c>
    </row>
    <row r="22" spans="1:41" x14ac:dyDescent="0.2">
      <c r="U22" t="s">
        <v>148</v>
      </c>
      <c r="V22" s="37">
        <f>1.2*V21</f>
        <v>1104307.5739349246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51">
        <f>SUM(V21+AK21)</f>
        <v>1176779.7276900774</v>
      </c>
    </row>
    <row r="24" spans="1:41" x14ac:dyDescent="0.2">
      <c r="F24" s="73" t="s">
        <v>175</v>
      </c>
      <c r="G24" s="73" t="s">
        <v>176</v>
      </c>
      <c r="H24" s="74" t="s">
        <v>153</v>
      </c>
      <c r="I24" s="74" t="s">
        <v>152</v>
      </c>
      <c r="J24" s="73" t="s">
        <v>126</v>
      </c>
      <c r="K24" s="75" t="s">
        <v>177</v>
      </c>
      <c r="L24" s="75" t="s">
        <v>178</v>
      </c>
      <c r="M24" s="75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41" x14ac:dyDescent="0.2">
      <c r="F25" s="19">
        <f>SUM(B4:D10)</f>
        <v>117082.57693540618</v>
      </c>
      <c r="G25" s="19">
        <f>SUM(E4:G10)</f>
        <v>117082.57693540618</v>
      </c>
      <c r="H25" s="19">
        <f>SUM(H4:J10)</f>
        <v>117082.57693540618</v>
      </c>
      <c r="I25" s="19">
        <f>SUM(K4:M10)</f>
        <v>117082.57693540618</v>
      </c>
      <c r="J25" s="19">
        <f>SUM(N4:S10)</f>
        <v>234165.1538708123</v>
      </c>
      <c r="K25" s="19">
        <f>SUM(Y4:AD7)</f>
        <v>118937.70803882016</v>
      </c>
      <c r="L25" s="19">
        <f>SUM(AE4:AJ7)</f>
        <v>118937.70803882016</v>
      </c>
      <c r="M25" s="19"/>
    </row>
    <row r="26" spans="1:41" x14ac:dyDescent="0.2">
      <c r="F26" s="36">
        <f>SUM(B13:D13)</f>
        <v>36293.475000000006</v>
      </c>
      <c r="G26" s="36">
        <f>SUM(E13:G13)</f>
        <v>36293.475000000006</v>
      </c>
      <c r="H26" s="36">
        <f>SUM(H13:J13)</f>
        <v>36293.475000000006</v>
      </c>
      <c r="I26" s="36">
        <f>SUM(K13:M13)</f>
        <v>36293.475000000006</v>
      </c>
      <c r="J26" s="36">
        <f>SUM(N13:S13)</f>
        <v>72586.95</v>
      </c>
      <c r="K26" s="36">
        <f>SUM(Y14:AD14)</f>
        <v>9324</v>
      </c>
      <c r="L26" s="36">
        <f>SUM(AE14:AJ14)</f>
        <v>9324</v>
      </c>
      <c r="M26" s="36"/>
    </row>
    <row r="30" spans="1:41" x14ac:dyDescent="0.2">
      <c r="F30" s="36">
        <f>SUM(V4:V10)</f>
        <v>702495.46161243704</v>
      </c>
    </row>
    <row r="33" spans="1:15" x14ac:dyDescent="0.2">
      <c r="B33" s="6" t="s">
        <v>180</v>
      </c>
      <c r="C33" s="6" t="s">
        <v>181</v>
      </c>
      <c r="D33" s="6" t="s">
        <v>126</v>
      </c>
      <c r="E33" s="6" t="s">
        <v>182</v>
      </c>
      <c r="F33" s="6" t="s">
        <v>178</v>
      </c>
      <c r="L33" s="47"/>
      <c r="M33" s="47"/>
      <c r="N33" s="47"/>
      <c r="O33" s="47"/>
    </row>
    <row r="34" spans="1:15" x14ac:dyDescent="0.2">
      <c r="A34" t="s">
        <v>95</v>
      </c>
      <c r="B34" s="6" t="s">
        <v>97</v>
      </c>
      <c r="C34" s="6" t="s">
        <v>96</v>
      </c>
      <c r="D34" s="6" t="s">
        <v>98</v>
      </c>
      <c r="E34" s="6" t="s">
        <v>183</v>
      </c>
      <c r="F34" s="55" t="s">
        <v>184</v>
      </c>
      <c r="N34" s="47"/>
    </row>
    <row r="35" spans="1:15" x14ac:dyDescent="0.2">
      <c r="A35" t="s">
        <v>87</v>
      </c>
      <c r="B35" s="36">
        <f t="shared" ref="B35:D37" si="3">SUM(B4:G4)</f>
        <v>25096.510559035734</v>
      </c>
      <c r="C35" s="36">
        <f t="shared" si="3"/>
        <v>25096.510559035734</v>
      </c>
      <c r="D35" s="36">
        <f t="shared" si="3"/>
        <v>25096.510559035734</v>
      </c>
      <c r="E35" s="36">
        <f>SUM(Y4:AD4)</f>
        <v>25096.510559035734</v>
      </c>
      <c r="F35" s="36">
        <f>SUM(AE4:AJ4)</f>
        <v>25096.510559035734</v>
      </c>
    </row>
    <row r="36" spans="1:15" x14ac:dyDescent="0.2">
      <c r="A36" t="s">
        <v>79</v>
      </c>
      <c r="B36" s="36">
        <f t="shared" si="3"/>
        <v>35476.489101307845</v>
      </c>
      <c r="C36" s="36">
        <f t="shared" si="3"/>
        <v>35476.489101307845</v>
      </c>
      <c r="D36" s="36">
        <f t="shared" si="3"/>
        <v>35476.489101307845</v>
      </c>
      <c r="E36" s="36"/>
    </row>
    <row r="37" spans="1:15" x14ac:dyDescent="0.2">
      <c r="A37" t="s">
        <v>81</v>
      </c>
      <c r="B37" s="36">
        <f t="shared" si="3"/>
        <v>28404.656929168501</v>
      </c>
      <c r="C37" s="36">
        <f t="shared" si="3"/>
        <v>28404.656929168501</v>
      </c>
      <c r="D37" s="36">
        <f t="shared" si="3"/>
        <v>28404.656929168501</v>
      </c>
      <c r="E37" s="36">
        <f>SUM(Y6:AD6)</f>
        <v>28404.656929168501</v>
      </c>
      <c r="F37" s="36">
        <f>SUM(AE6:AJ6)</f>
        <v>28404.656929168501</v>
      </c>
    </row>
    <row r="38" spans="1:15" x14ac:dyDescent="0.2">
      <c r="A38" t="s">
        <v>185</v>
      </c>
      <c r="B38" s="36"/>
      <c r="C38" s="36"/>
      <c r="D38" s="36"/>
      <c r="E38" s="36">
        <f>SUM(Y7:AD7)</f>
        <v>28404.656929168501</v>
      </c>
      <c r="F38" s="36">
        <f>SUM(AE7:AJ7)</f>
        <v>28404.656929168501</v>
      </c>
    </row>
    <row r="39" spans="1:15" x14ac:dyDescent="0.2">
      <c r="A39" t="s">
        <v>83</v>
      </c>
      <c r="B39" s="36">
        <f t="shared" ref="B39:D42" si="4">SUM(B7:G7)</f>
        <v>29968.136367148465</v>
      </c>
      <c r="C39" s="36">
        <f t="shared" si="4"/>
        <v>29968.136367148465</v>
      </c>
      <c r="D39" s="36">
        <f t="shared" si="4"/>
        <v>29968.136367148465</v>
      </c>
      <c r="E39" s="36"/>
    </row>
    <row r="40" spans="1:15" x14ac:dyDescent="0.2">
      <c r="A40" t="s">
        <v>84</v>
      </c>
      <c r="B40" s="36">
        <f t="shared" si="4"/>
        <v>47999.677292704364</v>
      </c>
      <c r="C40" s="36">
        <f t="shared" si="4"/>
        <v>47999.677292704364</v>
      </c>
      <c r="D40" s="36">
        <f t="shared" si="4"/>
        <v>47999.677292704364</v>
      </c>
      <c r="E40" s="36"/>
    </row>
    <row r="41" spans="1:15" x14ac:dyDescent="0.2">
      <c r="A41" t="s">
        <v>85</v>
      </c>
      <c r="B41" s="36">
        <f t="shared" si="4"/>
        <v>37031.883621447407</v>
      </c>
      <c r="C41" s="36">
        <f t="shared" si="4"/>
        <v>37031.883621447407</v>
      </c>
      <c r="D41" s="36">
        <f t="shared" si="4"/>
        <v>37031.883621447407</v>
      </c>
      <c r="E41" s="36">
        <f>SUM(Y5:AD5)</f>
        <v>37031.883621447407</v>
      </c>
      <c r="F41" s="36">
        <f>SUM(AE5:AJ5)</f>
        <v>37031.883621447407</v>
      </c>
    </row>
    <row r="42" spans="1:15" x14ac:dyDescent="0.2">
      <c r="A42" t="s">
        <v>110</v>
      </c>
      <c r="B42" s="36">
        <f t="shared" si="4"/>
        <v>30187.8</v>
      </c>
      <c r="C42" s="36">
        <f t="shared" si="4"/>
        <v>30187.8</v>
      </c>
      <c r="D42" s="36">
        <f t="shared" si="4"/>
        <v>30187.8</v>
      </c>
      <c r="E42" s="36"/>
    </row>
    <row r="43" spans="1:15" x14ac:dyDescent="0.2">
      <c r="A43" t="s">
        <v>186</v>
      </c>
      <c r="B43" s="36">
        <f>SUM(B13:G13)</f>
        <v>72586.95</v>
      </c>
      <c r="C43" s="36">
        <f t="shared" ref="C43" si="5">SUM(C13:H13)</f>
        <v>72586.95</v>
      </c>
      <c r="D43" s="36">
        <f>SUM(D13:I13)</f>
        <v>72586.95</v>
      </c>
      <c r="E43" s="36">
        <f>SUM(Y14:AD14)</f>
        <v>9324</v>
      </c>
      <c r="F43" s="36">
        <f>SUM(AE14:AJ14)</f>
        <v>9324</v>
      </c>
    </row>
    <row r="44" spans="1:15" ht="15.75" thickBot="1" x14ac:dyDescent="0.3">
      <c r="A44" s="77" t="s">
        <v>187</v>
      </c>
      <c r="B44" s="78">
        <f>SUM(B35:B43)</f>
        <v>306752.10387081228</v>
      </c>
      <c r="C44" s="78">
        <f t="shared" ref="C44:F44" si="6">SUM(C35:C43)</f>
        <v>306752.10387081228</v>
      </c>
      <c r="D44" s="78">
        <f t="shared" si="6"/>
        <v>306752.10387081228</v>
      </c>
      <c r="E44" s="78">
        <f t="shared" si="6"/>
        <v>128261.70803882013</v>
      </c>
      <c r="F44" s="78">
        <f t="shared" si="6"/>
        <v>128261.70803882013</v>
      </c>
    </row>
    <row r="45" spans="1:15" ht="13.5" thickTop="1" x14ac:dyDescent="0.2"/>
  </sheetData>
  <mergeCells count="6">
    <mergeCell ref="N2:S2"/>
    <mergeCell ref="Y2:AJ2"/>
    <mergeCell ref="K2:M2"/>
    <mergeCell ref="H2:J2"/>
    <mergeCell ref="B2:D2"/>
    <mergeCell ref="E2:G2"/>
  </mergeCells>
  <phoneticPr fontId="4" type="noConversion"/>
  <pageMargins left="0.75" right="0.75" top="1" bottom="1" header="0.5" footer="0.5"/>
  <pageSetup paperSize="1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F46" sqref="F46"/>
    </sheetView>
  </sheetViews>
  <sheetFormatPr defaultRowHeight="12.75" x14ac:dyDescent="0.2"/>
  <cols>
    <col min="1" max="1" width="29.42578125" customWidth="1"/>
    <col min="2" max="2" width="14" bestFit="1" customWidth="1"/>
  </cols>
  <sheetData>
    <row r="1" spans="1:2" ht="15" x14ac:dyDescent="0.25">
      <c r="A1" s="16" t="s">
        <v>69</v>
      </c>
      <c r="B1" s="6"/>
    </row>
    <row r="2" spans="1:2" x14ac:dyDescent="0.2">
      <c r="B2" s="6"/>
    </row>
    <row r="3" spans="1:2" x14ac:dyDescent="0.2">
      <c r="A3" s="9"/>
      <c r="B3" s="24"/>
    </row>
    <row r="4" spans="1:2" x14ac:dyDescent="0.2">
      <c r="A4" t="s">
        <v>87</v>
      </c>
      <c r="B4" s="19">
        <f>46791</f>
        <v>46791</v>
      </c>
    </row>
    <row r="5" spans="1:2" x14ac:dyDescent="0.2">
      <c r="A5" t="s">
        <v>86</v>
      </c>
      <c r="B5" s="19">
        <f>105865</f>
        <v>105865</v>
      </c>
    </row>
    <row r="6" spans="1:2" x14ac:dyDescent="0.2">
      <c r="A6" t="s">
        <v>79</v>
      </c>
      <c r="B6" s="19">
        <f>69545</f>
        <v>69545</v>
      </c>
    </row>
    <row r="7" spans="1:2" x14ac:dyDescent="0.2">
      <c r="A7" t="s">
        <v>80</v>
      </c>
      <c r="B7" s="19">
        <f>64619</f>
        <v>64619</v>
      </c>
    </row>
    <row r="8" spans="1:2" x14ac:dyDescent="0.2">
      <c r="A8" t="s">
        <v>81</v>
      </c>
      <c r="B8" s="19">
        <f>55682</f>
        <v>55682</v>
      </c>
    </row>
    <row r="9" spans="1:2" x14ac:dyDescent="0.2">
      <c r="A9" t="s">
        <v>82</v>
      </c>
      <c r="B9" s="19">
        <f>87143</f>
        <v>87143</v>
      </c>
    </row>
    <row r="10" spans="1:2" x14ac:dyDescent="0.2">
      <c r="A10" t="s">
        <v>83</v>
      </c>
      <c r="B10" s="19">
        <f>54611</f>
        <v>54611</v>
      </c>
    </row>
    <row r="11" spans="1:2" x14ac:dyDescent="0.2">
      <c r="A11" t="s">
        <v>84</v>
      </c>
      <c r="B11" s="19">
        <f>93581</f>
        <v>93581</v>
      </c>
    </row>
    <row r="12" spans="1:2" x14ac:dyDescent="0.2">
      <c r="A12" t="s">
        <v>85</v>
      </c>
      <c r="B12" s="19">
        <f>72198</f>
        <v>72198</v>
      </c>
    </row>
    <row r="13" spans="1:2" x14ac:dyDescent="0.2">
      <c r="A13" s="2" t="s">
        <v>113</v>
      </c>
      <c r="B13" s="19">
        <v>50313</v>
      </c>
    </row>
    <row r="14" spans="1:2" x14ac:dyDescent="0.2">
      <c r="A14" s="22" t="s">
        <v>13</v>
      </c>
      <c r="B14" s="19">
        <f>'Budget Worksheet'!C32</f>
        <v>12097.825000000001</v>
      </c>
    </row>
    <row r="15" spans="1:2" x14ac:dyDescent="0.2">
      <c r="A15" s="22"/>
      <c r="B15" s="19"/>
    </row>
    <row r="16" spans="1:2" x14ac:dyDescent="0.2">
      <c r="A16" s="22" t="s">
        <v>35</v>
      </c>
      <c r="B16" s="19"/>
    </row>
    <row r="17" spans="1:2" x14ac:dyDescent="0.2">
      <c r="A17" s="22"/>
      <c r="B17" s="19"/>
    </row>
    <row r="18" spans="1:2" x14ac:dyDescent="0.2">
      <c r="A18" s="22" t="s">
        <v>28</v>
      </c>
      <c r="B18" s="19"/>
    </row>
    <row r="19" spans="1:2" x14ac:dyDescent="0.2">
      <c r="B19" s="6"/>
    </row>
    <row r="20" spans="1:2" x14ac:dyDescent="0.2">
      <c r="B20" s="6"/>
    </row>
    <row r="21" spans="1:2" x14ac:dyDescent="0.2">
      <c r="B21" s="6"/>
    </row>
    <row r="22" spans="1:2" x14ac:dyDescent="0.2">
      <c r="A22" s="23" t="s">
        <v>30</v>
      </c>
      <c r="B22" s="25">
        <f>SUM(B4:B18)</f>
        <v>712445.82499999995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E27" sqref="E27:F29"/>
    </sheetView>
  </sheetViews>
  <sheetFormatPr defaultRowHeight="12.75" x14ac:dyDescent="0.2"/>
  <cols>
    <col min="1" max="1" width="38.7109375" customWidth="1"/>
    <col min="2" max="4" width="16" style="6" customWidth="1"/>
    <col min="5" max="5" width="39" customWidth="1"/>
    <col min="6" max="7" width="14.5703125" bestFit="1" customWidth="1"/>
    <col min="8" max="8" width="14" bestFit="1" customWidth="1"/>
    <col min="9" max="13" width="11.85546875" bestFit="1" customWidth="1"/>
    <col min="14" max="19" width="12" bestFit="1" customWidth="1"/>
  </cols>
  <sheetData>
    <row r="1" spans="1:8" ht="30" x14ac:dyDescent="0.25">
      <c r="A1" s="53" t="s">
        <v>129</v>
      </c>
      <c r="B1" s="86" t="s">
        <v>151</v>
      </c>
      <c r="C1" s="86"/>
      <c r="D1" s="86"/>
      <c r="E1" s="53" t="s">
        <v>128</v>
      </c>
      <c r="F1" s="86" t="s">
        <v>150</v>
      </c>
      <c r="G1" s="86"/>
      <c r="H1" s="86"/>
    </row>
    <row r="2" spans="1:8" ht="30" x14ac:dyDescent="0.25">
      <c r="A2" s="53" t="s">
        <v>40</v>
      </c>
      <c r="B2" s="6" t="s">
        <v>126</v>
      </c>
      <c r="C2" s="85" t="s">
        <v>127</v>
      </c>
      <c r="D2" s="85"/>
      <c r="E2" s="53" t="s">
        <v>40</v>
      </c>
      <c r="F2" s="6" t="s">
        <v>126</v>
      </c>
      <c r="G2" s="85" t="s">
        <v>127</v>
      </c>
      <c r="H2" s="85"/>
    </row>
    <row r="3" spans="1:8" x14ac:dyDescent="0.2">
      <c r="A3" s="57"/>
      <c r="B3" s="58" t="s">
        <v>64</v>
      </c>
      <c r="C3" s="58" t="s">
        <v>65</v>
      </c>
      <c r="D3" s="58" t="s">
        <v>66</v>
      </c>
      <c r="E3" s="57"/>
      <c r="F3" s="58" t="s">
        <v>64</v>
      </c>
      <c r="G3" s="58" t="s">
        <v>65</v>
      </c>
      <c r="H3" s="58" t="s">
        <v>66</v>
      </c>
    </row>
    <row r="4" spans="1:8" x14ac:dyDescent="0.2">
      <c r="A4" s="59" t="s">
        <v>62</v>
      </c>
      <c r="B4" s="60">
        <v>125000</v>
      </c>
      <c r="C4" s="60">
        <v>250000</v>
      </c>
      <c r="D4" s="60">
        <v>500000</v>
      </c>
      <c r="E4" s="59" t="s">
        <v>62</v>
      </c>
      <c r="F4" s="60">
        <v>150000</v>
      </c>
      <c r="G4" s="60">
        <v>300000</v>
      </c>
      <c r="H4" s="60">
        <v>600000</v>
      </c>
    </row>
    <row r="5" spans="1:8" x14ac:dyDescent="0.2">
      <c r="A5" s="59" t="s">
        <v>63</v>
      </c>
      <c r="B5" s="56">
        <v>1</v>
      </c>
      <c r="C5" s="56">
        <v>1.5</v>
      </c>
      <c r="D5" s="56">
        <v>2</v>
      </c>
      <c r="E5" s="59" t="s">
        <v>63</v>
      </c>
      <c r="F5" s="56">
        <v>1</v>
      </c>
      <c r="G5" s="56">
        <v>1.5</v>
      </c>
      <c r="H5" s="56">
        <v>2</v>
      </c>
    </row>
    <row r="6" spans="1:8" x14ac:dyDescent="0.2">
      <c r="A6" s="59" t="s">
        <v>171</v>
      </c>
      <c r="B6" s="72">
        <v>6</v>
      </c>
      <c r="C6" s="72">
        <v>6</v>
      </c>
      <c r="D6" s="72">
        <v>6</v>
      </c>
      <c r="E6" s="59" t="s">
        <v>171</v>
      </c>
      <c r="F6" s="72">
        <v>6</v>
      </c>
      <c r="G6" s="72">
        <v>6</v>
      </c>
      <c r="H6" s="72">
        <v>6</v>
      </c>
    </row>
    <row r="7" spans="1:8" x14ac:dyDescent="0.2">
      <c r="A7" s="62" t="s">
        <v>41</v>
      </c>
      <c r="B7" s="63">
        <f>B4*B5*B6</f>
        <v>750000</v>
      </c>
      <c r="C7" s="63">
        <f>C4*C5*C6</f>
        <v>2250000</v>
      </c>
      <c r="D7" s="63">
        <f>D4*D5*D6</f>
        <v>6000000</v>
      </c>
      <c r="E7" s="62" t="s">
        <v>41</v>
      </c>
      <c r="F7" s="63">
        <f>F4*F5*F6</f>
        <v>900000</v>
      </c>
      <c r="G7" s="63">
        <f>G4*G5*G6</f>
        <v>2700000</v>
      </c>
      <c r="H7" s="63">
        <f>H4*H5*H6</f>
        <v>7200000</v>
      </c>
    </row>
    <row r="8" spans="1:8" x14ac:dyDescent="0.2">
      <c r="A8" s="62" t="s">
        <v>47</v>
      </c>
      <c r="B8" s="72">
        <v>0.25</v>
      </c>
      <c r="C8" s="72">
        <v>0.25</v>
      </c>
      <c r="D8" s="72">
        <v>0.25</v>
      </c>
      <c r="E8" s="62" t="s">
        <v>47</v>
      </c>
      <c r="F8" s="61"/>
      <c r="G8" s="61"/>
      <c r="H8" s="61"/>
    </row>
    <row r="9" spans="1:8" x14ac:dyDescent="0.2">
      <c r="A9" s="59" t="s">
        <v>122</v>
      </c>
      <c r="B9" s="61">
        <f>B7*B8</f>
        <v>187500</v>
      </c>
      <c r="C9" s="61">
        <f>C7*C8</f>
        <v>562500</v>
      </c>
      <c r="D9" s="61">
        <f>D7*D8</f>
        <v>1500000</v>
      </c>
      <c r="E9" s="59" t="s">
        <v>122</v>
      </c>
      <c r="F9" s="72">
        <v>0.25</v>
      </c>
      <c r="G9" s="72">
        <v>0.25</v>
      </c>
      <c r="H9" s="72">
        <v>0.25</v>
      </c>
    </row>
    <row r="10" spans="1:8" x14ac:dyDescent="0.2">
      <c r="A10" s="64"/>
      <c r="B10" s="72">
        <v>0.3</v>
      </c>
      <c r="C10" s="72">
        <v>0.3</v>
      </c>
      <c r="D10" s="72">
        <v>0.3</v>
      </c>
      <c r="E10" s="64"/>
      <c r="F10" s="61">
        <f>F7*F9</f>
        <v>225000</v>
      </c>
      <c r="G10" s="61">
        <f>G7*G9</f>
        <v>675000</v>
      </c>
      <c r="H10" s="61">
        <f>H7*H9</f>
        <v>1800000</v>
      </c>
    </row>
    <row r="11" spans="1:8" x14ac:dyDescent="0.2">
      <c r="A11" s="59" t="s">
        <v>172</v>
      </c>
      <c r="B11" s="61">
        <f>B7*B10</f>
        <v>225000</v>
      </c>
      <c r="C11" s="61">
        <f>C7*C10</f>
        <v>675000</v>
      </c>
      <c r="D11" s="61">
        <f>D7*D10</f>
        <v>1800000</v>
      </c>
      <c r="E11" s="59" t="s">
        <v>172</v>
      </c>
      <c r="F11" s="72">
        <v>0.3</v>
      </c>
      <c r="G11" s="72">
        <v>0.3</v>
      </c>
      <c r="H11" s="72">
        <v>0.3</v>
      </c>
    </row>
    <row r="12" spans="1:8" x14ac:dyDescent="0.2">
      <c r="A12" s="64"/>
      <c r="B12" s="65"/>
      <c r="C12" s="65"/>
      <c r="D12" s="65"/>
      <c r="E12" s="64"/>
      <c r="F12" s="61">
        <f>F7*F11</f>
        <v>270000</v>
      </c>
      <c r="G12" s="61">
        <f>G7*G11</f>
        <v>810000</v>
      </c>
      <c r="H12" s="61">
        <f>H7*H11</f>
        <v>2160000</v>
      </c>
    </row>
    <row r="13" spans="1:8" x14ac:dyDescent="0.2">
      <c r="A13" s="62" t="s">
        <v>42</v>
      </c>
      <c r="B13" s="63">
        <f>B7-B9-B11</f>
        <v>337500</v>
      </c>
      <c r="C13" s="63">
        <f>C7-C9-C11</f>
        <v>1012500</v>
      </c>
      <c r="D13" s="63">
        <f>D7-(D7*D8)-(D7*D10)</f>
        <v>2700000</v>
      </c>
      <c r="E13" s="62" t="s">
        <v>42</v>
      </c>
      <c r="F13" s="63">
        <f>F7-(F7*F9)-(F7*F11)</f>
        <v>405000</v>
      </c>
      <c r="G13" s="63">
        <f>G7-(G7*G9)-(G7*G11)</f>
        <v>1215000</v>
      </c>
      <c r="H13" s="63">
        <f>H7-(H7*H9)-(H7*H11)</f>
        <v>3240000</v>
      </c>
    </row>
    <row r="14" spans="1:8" ht="38.25" x14ac:dyDescent="0.2">
      <c r="A14" s="66" t="s">
        <v>50</v>
      </c>
      <c r="B14" s="67">
        <f>B13</f>
        <v>337500</v>
      </c>
      <c r="C14" s="67">
        <f>C13</f>
        <v>1012500</v>
      </c>
      <c r="D14" s="67">
        <f>D13</f>
        <v>2700000</v>
      </c>
      <c r="E14" s="66" t="s">
        <v>50</v>
      </c>
      <c r="F14" s="67">
        <f>F13</f>
        <v>405000</v>
      </c>
      <c r="G14" s="67">
        <f>G13</f>
        <v>1215000</v>
      </c>
      <c r="H14" s="67">
        <f>H13</f>
        <v>3240000</v>
      </c>
    </row>
    <row r="15" spans="1:8" x14ac:dyDescent="0.2">
      <c r="A15" s="68" t="s">
        <v>43</v>
      </c>
      <c r="B15" s="61"/>
      <c r="C15" s="61"/>
      <c r="D15" s="61"/>
      <c r="E15" s="68" t="s">
        <v>43</v>
      </c>
      <c r="F15" s="61"/>
      <c r="G15" s="61"/>
      <c r="H15" s="61"/>
    </row>
    <row r="16" spans="1:8" x14ac:dyDescent="0.2">
      <c r="A16" s="69" t="s">
        <v>44</v>
      </c>
      <c r="B16" s="56">
        <f>'Budget Calculator'!V21</f>
        <v>920256.31161243713</v>
      </c>
      <c r="C16" s="56">
        <f>'Budget Calculator'!AK21</f>
        <v>256523.41607764029</v>
      </c>
      <c r="D16" s="56">
        <f>'Budget Calculator'!AK21</f>
        <v>256523.41607764029</v>
      </c>
      <c r="E16" s="69" t="s">
        <v>44</v>
      </c>
      <c r="F16" s="56">
        <f>'Budget Calculator'!V21</f>
        <v>920256.31161243713</v>
      </c>
      <c r="G16" s="56">
        <f>'Budget Calculator'!AK21</f>
        <v>256523.41607764029</v>
      </c>
      <c r="H16" s="56">
        <f>'Budget Calculator'!AK21</f>
        <v>256523.41607764029</v>
      </c>
    </row>
    <row r="17" spans="1:8" x14ac:dyDescent="0.2">
      <c r="A17" s="69" t="s">
        <v>146</v>
      </c>
      <c r="B17" s="56">
        <v>50000</v>
      </c>
      <c r="C17" s="56"/>
      <c r="D17" s="56"/>
      <c r="E17" s="69" t="s">
        <v>146</v>
      </c>
      <c r="F17" s="56">
        <v>50000</v>
      </c>
      <c r="G17" s="56"/>
      <c r="H17" s="56"/>
    </row>
    <row r="18" spans="1:8" x14ac:dyDescent="0.2">
      <c r="A18" s="69" t="s">
        <v>147</v>
      </c>
      <c r="B18" s="56"/>
      <c r="C18" s="56">
        <f>0.05*B16</f>
        <v>46012.815580621856</v>
      </c>
      <c r="D18" s="56"/>
      <c r="E18" s="69" t="s">
        <v>147</v>
      </c>
      <c r="F18" s="56"/>
      <c r="G18" s="56">
        <f>0.05*F16</f>
        <v>46012.815580621856</v>
      </c>
      <c r="H18" s="56"/>
    </row>
    <row r="19" spans="1:8" x14ac:dyDescent="0.2">
      <c r="A19" s="68" t="s">
        <v>45</v>
      </c>
      <c r="B19" s="61"/>
      <c r="C19" s="61"/>
      <c r="D19" s="61"/>
      <c r="E19" s="68" t="s">
        <v>45</v>
      </c>
      <c r="F19" s="61"/>
      <c r="G19" s="61"/>
      <c r="H19" s="61"/>
    </row>
    <row r="20" spans="1:8" x14ac:dyDescent="0.2">
      <c r="A20" s="69" t="s">
        <v>49</v>
      </c>
      <c r="B20" s="56">
        <v>79000</v>
      </c>
      <c r="C20" s="56"/>
      <c r="D20" s="56"/>
      <c r="E20" s="69" t="s">
        <v>49</v>
      </c>
      <c r="F20" s="56">
        <v>79000</v>
      </c>
      <c r="G20" s="56"/>
      <c r="H20" s="56"/>
    </row>
    <row r="21" spans="1:8" ht="25.5" x14ac:dyDescent="0.2">
      <c r="A21" s="59" t="s">
        <v>67</v>
      </c>
      <c r="B21" s="56">
        <f>B16*0.2</f>
        <v>184051.26232248743</v>
      </c>
      <c r="C21" s="56">
        <f>C16*0.2</f>
        <v>51304.683215528057</v>
      </c>
      <c r="D21" s="56">
        <f>D16*0.2</f>
        <v>51304.683215528057</v>
      </c>
      <c r="E21" s="59" t="s">
        <v>67</v>
      </c>
      <c r="F21" s="56">
        <f>F16*0.2</f>
        <v>184051.26232248743</v>
      </c>
      <c r="G21" s="56">
        <f>G16*0.2</f>
        <v>51304.683215528057</v>
      </c>
      <c r="H21" s="56">
        <f>H16*0.2</f>
        <v>51304.683215528057</v>
      </c>
    </row>
    <row r="22" spans="1:8" x14ac:dyDescent="0.2">
      <c r="A22" s="70" t="s">
        <v>46</v>
      </c>
      <c r="B22" s="61"/>
      <c r="C22" s="61"/>
      <c r="D22" s="61"/>
      <c r="E22" s="70" t="s">
        <v>46</v>
      </c>
      <c r="F22" s="61"/>
      <c r="G22" s="61"/>
      <c r="H22" s="61"/>
    </row>
    <row r="23" spans="1:8" ht="30" customHeight="1" x14ac:dyDescent="0.2">
      <c r="A23" s="69" t="s">
        <v>149</v>
      </c>
      <c r="B23" s="56">
        <v>750000</v>
      </c>
      <c r="C23" s="56"/>
      <c r="D23" s="56"/>
      <c r="E23" s="71" t="s">
        <v>149</v>
      </c>
      <c r="F23" s="56">
        <v>750000</v>
      </c>
      <c r="G23" s="56"/>
      <c r="H23" s="56"/>
    </row>
    <row r="24" spans="1:8" x14ac:dyDescent="0.2">
      <c r="A24" s="62" t="s">
        <v>95</v>
      </c>
      <c r="B24" s="63">
        <f>SUM(B15:B22)</f>
        <v>1233307.5739349243</v>
      </c>
      <c r="C24" s="63">
        <f>SUM(C15:C22)</f>
        <v>353840.91487379023</v>
      </c>
      <c r="D24" s="63">
        <f>SUM(D15:D22)</f>
        <v>307828.09929316834</v>
      </c>
      <c r="E24" s="62" t="s">
        <v>95</v>
      </c>
      <c r="F24" s="63">
        <f>SUM(F15:F22)</f>
        <v>1233307.5739349243</v>
      </c>
      <c r="G24" s="63">
        <f>SUM(G15:G22)</f>
        <v>353840.91487379023</v>
      </c>
      <c r="H24" s="63">
        <f>SUM(H15:H22)</f>
        <v>307828.09929316834</v>
      </c>
    </row>
    <row r="25" spans="1:8" x14ac:dyDescent="0.2">
      <c r="A25" s="59" t="s">
        <v>42</v>
      </c>
      <c r="B25" s="61">
        <f>B14-B24</f>
        <v>-895807.57393492432</v>
      </c>
      <c r="C25" s="61">
        <f>C14-C24</f>
        <v>658659.08512620977</v>
      </c>
      <c r="D25" s="61">
        <f>D14-D24</f>
        <v>2392171.9007068318</v>
      </c>
      <c r="E25" s="59" t="s">
        <v>42</v>
      </c>
      <c r="F25" s="61">
        <f>F14-F24</f>
        <v>-828307.57393492432</v>
      </c>
      <c r="G25" s="61">
        <f>G14-G24</f>
        <v>861159.08512620977</v>
      </c>
      <c r="H25" s="61">
        <f>H14-H24</f>
        <v>2932171.9007068318</v>
      </c>
    </row>
    <row r="26" spans="1:8" x14ac:dyDescent="0.2">
      <c r="A26" s="62" t="s">
        <v>48</v>
      </c>
      <c r="B26" s="34">
        <f>B25/B13</f>
        <v>-2.6542446635108869</v>
      </c>
      <c r="C26" s="34">
        <f>C25/C13</f>
        <v>0.6505274914826763</v>
      </c>
      <c r="D26" s="34">
        <f>D25/D13</f>
        <v>0.88598959285438217</v>
      </c>
      <c r="E26" s="62" t="s">
        <v>48</v>
      </c>
      <c r="F26" s="34">
        <f>F25/F13</f>
        <v>-2.0452038862590722</v>
      </c>
      <c r="G26" s="34">
        <f>G25/G13</f>
        <v>0.70877290956889694</v>
      </c>
      <c r="H26" s="34">
        <f>H25/H13</f>
        <v>0.90499132737865184</v>
      </c>
    </row>
    <row r="27" spans="1:8" x14ac:dyDescent="0.2">
      <c r="A27" s="44" t="s">
        <v>179</v>
      </c>
      <c r="B27" s="76">
        <f>SUM(B13:D13)</f>
        <v>4050000</v>
      </c>
      <c r="D27" s="36"/>
      <c r="E27" s="44" t="s">
        <v>41</v>
      </c>
      <c r="F27" s="65">
        <f>SUM(F13:H13)</f>
        <v>4860000</v>
      </c>
    </row>
    <row r="28" spans="1:8" x14ac:dyDescent="0.2">
      <c r="A28" s="5" t="s">
        <v>155</v>
      </c>
      <c r="B28" s="65">
        <f>SUM(B24:D24)</f>
        <v>1894976.588101883</v>
      </c>
      <c r="E28" s="44" t="s">
        <v>155</v>
      </c>
      <c r="F28" s="65">
        <f>SUM(F24:H24)</f>
        <v>1894976.588101883</v>
      </c>
      <c r="G28" s="37"/>
    </row>
    <row r="29" spans="1:8" x14ac:dyDescent="0.2">
      <c r="A29" s="44" t="s">
        <v>156</v>
      </c>
      <c r="B29" s="65">
        <f>B27-B28</f>
        <v>2155023.411898117</v>
      </c>
      <c r="E29" s="44" t="s">
        <v>156</v>
      </c>
      <c r="F29" s="65">
        <f>F27-F28</f>
        <v>2965023.411898117</v>
      </c>
    </row>
    <row r="32" spans="1:8" x14ac:dyDescent="0.2">
      <c r="B32"/>
      <c r="C32"/>
      <c r="D32"/>
    </row>
    <row r="33" spans="2:8" x14ac:dyDescent="0.2">
      <c r="B33" s="37">
        <f>B25</f>
        <v>-895807.57393492432</v>
      </c>
      <c r="C33" s="37">
        <f>C25</f>
        <v>658659.08512620977</v>
      </c>
      <c r="D33" s="37">
        <f>D25</f>
        <v>2392171.9007068318</v>
      </c>
      <c r="F33">
        <v>-1558349.3325590503</v>
      </c>
      <c r="G33">
        <v>-199305.81554459815</v>
      </c>
      <c r="H33">
        <v>143844.15664536227</v>
      </c>
    </row>
    <row r="34" spans="2:8" x14ac:dyDescent="0.2">
      <c r="B34" s="6">
        <v>0</v>
      </c>
      <c r="C34" s="6">
        <v>0</v>
      </c>
      <c r="D34" s="6">
        <v>0</v>
      </c>
    </row>
    <row r="35" spans="2:8" x14ac:dyDescent="0.2">
      <c r="B35" s="37">
        <f>F25</f>
        <v>-828307.57393492432</v>
      </c>
      <c r="C35" s="37">
        <f>G25</f>
        <v>861159.08512620977</v>
      </c>
      <c r="D35" s="37">
        <f>H25</f>
        <v>2932171.9007068318</v>
      </c>
      <c r="F35">
        <v>-1497099.3325590503</v>
      </c>
      <c r="G35">
        <v>-165555.81554459815</v>
      </c>
      <c r="H35">
        <v>233844.15664536227</v>
      </c>
    </row>
    <row r="36" spans="2:8" x14ac:dyDescent="0.2">
      <c r="B36"/>
      <c r="C36"/>
      <c r="D36"/>
    </row>
    <row r="37" spans="2:8" x14ac:dyDescent="0.2">
      <c r="B37"/>
      <c r="C37"/>
      <c r="D37"/>
    </row>
    <row r="39" spans="2:8" x14ac:dyDescent="0.2">
      <c r="B39"/>
      <c r="C39"/>
      <c r="D39"/>
    </row>
  </sheetData>
  <mergeCells count="4">
    <mergeCell ref="C2:D2"/>
    <mergeCell ref="B1:D1"/>
    <mergeCell ref="F1:H1"/>
    <mergeCell ref="G2:H2"/>
  </mergeCells>
  <phoneticPr fontId="4" type="noConversion"/>
  <conditionalFormatting sqref="B24:D24">
    <cfRule type="cellIs" dxfId="5" priority="11" operator="lessThan">
      <formula>0</formula>
    </cfRule>
  </conditionalFormatting>
  <conditionalFormatting sqref="B25:D25">
    <cfRule type="cellIs" dxfId="4" priority="10" operator="lessThan">
      <formula>0</formula>
    </cfRule>
  </conditionalFormatting>
  <conditionalFormatting sqref="F24:H24">
    <cfRule type="cellIs" dxfId="3" priority="7" operator="lessThan">
      <formula>0</formula>
    </cfRule>
  </conditionalFormatting>
  <conditionalFormatting sqref="F25:H25">
    <cfRule type="cellIs" dxfId="2" priority="6" operator="lessThan">
      <formula>0</formula>
    </cfRule>
  </conditionalFormatting>
  <pageMargins left="0.75" right="0.75" top="0.51" bottom="0.49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34" sqref="A34:B34"/>
    </sheetView>
  </sheetViews>
  <sheetFormatPr defaultRowHeight="12.75" x14ac:dyDescent="0.2"/>
  <cols>
    <col min="1" max="1" width="70.28515625" bestFit="1" customWidth="1"/>
    <col min="2" max="3" width="12.85546875" bestFit="1" customWidth="1"/>
    <col min="4" max="5" width="14" bestFit="1" customWidth="1"/>
  </cols>
  <sheetData>
    <row r="1" spans="1:5" ht="15" x14ac:dyDescent="0.25">
      <c r="A1" s="16" t="s">
        <v>128</v>
      </c>
      <c r="B1" s="86" t="s">
        <v>150</v>
      </c>
      <c r="C1" s="85"/>
      <c r="D1" s="85"/>
    </row>
    <row r="2" spans="1:5" ht="15" x14ac:dyDescent="0.25">
      <c r="A2" s="16" t="s">
        <v>40</v>
      </c>
      <c r="B2" s="6" t="s">
        <v>126</v>
      </c>
      <c r="C2" s="85" t="s">
        <v>127</v>
      </c>
      <c r="D2" s="85"/>
    </row>
    <row r="3" spans="1:5" x14ac:dyDescent="0.2">
      <c r="B3" s="35" t="s">
        <v>64</v>
      </c>
      <c r="C3" s="35" t="s">
        <v>65</v>
      </c>
      <c r="D3" s="35" t="s">
        <v>66</v>
      </c>
    </row>
    <row r="4" spans="1:5" x14ac:dyDescent="0.2">
      <c r="A4" s="31" t="s">
        <v>62</v>
      </c>
      <c r="B4" s="40">
        <v>150000</v>
      </c>
      <c r="C4" s="40">
        <v>300000</v>
      </c>
      <c r="D4" s="40">
        <v>600000</v>
      </c>
    </row>
    <row r="5" spans="1:5" x14ac:dyDescent="0.2">
      <c r="A5" s="31" t="s">
        <v>63</v>
      </c>
      <c r="B5" s="19">
        <v>1</v>
      </c>
      <c r="C5" s="19">
        <v>1.5</v>
      </c>
      <c r="D5" s="19">
        <v>2</v>
      </c>
    </row>
    <row r="6" spans="1:5" x14ac:dyDescent="0.2">
      <c r="A6" s="7"/>
      <c r="B6" s="8"/>
      <c r="C6" s="8"/>
      <c r="D6" s="8"/>
    </row>
    <row r="7" spans="1:5" x14ac:dyDescent="0.2">
      <c r="A7" s="18" t="s">
        <v>41</v>
      </c>
      <c r="B7" s="32">
        <f>B4*B5</f>
        <v>150000</v>
      </c>
      <c r="C7" s="32">
        <f>C4*C5</f>
        <v>450000</v>
      </c>
      <c r="D7" s="32">
        <f>D4*D5</f>
        <v>1200000</v>
      </c>
    </row>
    <row r="8" spans="1:5" x14ac:dyDescent="0.2">
      <c r="A8" s="10" t="s">
        <v>47</v>
      </c>
      <c r="B8" s="8"/>
      <c r="C8" s="8"/>
      <c r="D8" s="8"/>
    </row>
    <row r="9" spans="1:5" x14ac:dyDescent="0.2">
      <c r="A9" s="31" t="s">
        <v>122</v>
      </c>
      <c r="B9" s="45">
        <v>0.25</v>
      </c>
      <c r="C9" s="45">
        <v>0.25</v>
      </c>
      <c r="D9" s="45">
        <v>0.25</v>
      </c>
    </row>
    <row r="10" spans="1:5" x14ac:dyDescent="0.2">
      <c r="A10" s="7"/>
      <c r="B10" s="43">
        <f>B7*B9</f>
        <v>37500</v>
      </c>
      <c r="C10" s="43">
        <f>C7*C9</f>
        <v>112500</v>
      </c>
      <c r="D10" s="43">
        <f>D7*D9</f>
        <v>300000</v>
      </c>
    </row>
    <row r="11" spans="1:5" x14ac:dyDescent="0.2">
      <c r="A11" s="31" t="s">
        <v>123</v>
      </c>
      <c r="B11" s="45">
        <v>0.3</v>
      </c>
      <c r="C11" s="45">
        <v>0.3</v>
      </c>
      <c r="D11" s="45">
        <v>0.3</v>
      </c>
    </row>
    <row r="12" spans="1:5" x14ac:dyDescent="0.2">
      <c r="A12" s="7"/>
      <c r="B12" s="43">
        <f>B7*B11</f>
        <v>45000</v>
      </c>
      <c r="C12" s="43">
        <f>C7*C11</f>
        <v>135000</v>
      </c>
      <c r="D12" s="43">
        <f>D7*D11</f>
        <v>360000</v>
      </c>
    </row>
    <row r="13" spans="1:5" x14ac:dyDescent="0.2">
      <c r="A13" s="18" t="s">
        <v>42</v>
      </c>
      <c r="B13" s="32">
        <f>B7-(B7*B9)-(B7*B11)</f>
        <v>67500</v>
      </c>
      <c r="C13" s="32">
        <f>C7-(C7*C9)-(C7*C11)</f>
        <v>202500</v>
      </c>
      <c r="D13" s="32">
        <f>D7-(D7*D9)-(D7*D11)</f>
        <v>540000</v>
      </c>
    </row>
    <row r="14" spans="1:5" x14ac:dyDescent="0.2">
      <c r="A14" s="18"/>
      <c r="B14" s="32"/>
      <c r="C14" s="32"/>
      <c r="D14" s="32"/>
    </row>
    <row r="15" spans="1:5" x14ac:dyDescent="0.2">
      <c r="A15" s="7" t="s">
        <v>125</v>
      </c>
      <c r="B15" s="8"/>
      <c r="C15" s="8"/>
      <c r="D15" s="8">
        <v>250000</v>
      </c>
    </row>
    <row r="16" spans="1:5" x14ac:dyDescent="0.2">
      <c r="A16" s="7"/>
      <c r="B16" s="8"/>
      <c r="C16" s="8"/>
      <c r="D16" s="8"/>
      <c r="E16" s="2" t="s">
        <v>124</v>
      </c>
    </row>
    <row r="17" spans="1:5" x14ac:dyDescent="0.2">
      <c r="A17" s="29" t="s">
        <v>50</v>
      </c>
      <c r="B17" s="33">
        <f>B13</f>
        <v>67500</v>
      </c>
      <c r="C17" s="33">
        <f>C13</f>
        <v>202500</v>
      </c>
      <c r="D17" s="33">
        <f>D13</f>
        <v>540000</v>
      </c>
      <c r="E17" s="37">
        <f>SUM(B17:D17)</f>
        <v>810000</v>
      </c>
    </row>
    <row r="18" spans="1:5" x14ac:dyDescent="0.2">
      <c r="A18" s="7"/>
      <c r="B18" s="8"/>
      <c r="C18" s="8"/>
      <c r="D18" s="8"/>
    </row>
    <row r="19" spans="1:5" x14ac:dyDescent="0.2">
      <c r="A19" s="11" t="s">
        <v>43</v>
      </c>
      <c r="B19" s="8"/>
      <c r="C19" s="8"/>
      <c r="D19" s="8"/>
    </row>
    <row r="20" spans="1:5" x14ac:dyDescent="0.2">
      <c r="A20" s="9" t="s">
        <v>44</v>
      </c>
      <c r="B20" s="19">
        <f>SUM('Budget Calculator'!B4:G10)</f>
        <v>234165.1538708123</v>
      </c>
      <c r="C20" s="19">
        <f>SUM('Budget Calculator'!C4:H10)</f>
        <v>234165.1538708123</v>
      </c>
      <c r="D20" s="19">
        <f>SUM('Budget Calculator'!D4:I10)</f>
        <v>234165.1538708123</v>
      </c>
    </row>
    <row r="21" spans="1:5" x14ac:dyDescent="0.2">
      <c r="A21" s="5" t="s">
        <v>146</v>
      </c>
      <c r="B21" s="19"/>
      <c r="C21" s="19"/>
      <c r="D21" s="19"/>
    </row>
    <row r="22" spans="1:5" x14ac:dyDescent="0.2">
      <c r="A22" s="5" t="s">
        <v>147</v>
      </c>
      <c r="B22" s="19"/>
      <c r="C22" s="19">
        <f>0.05*B20</f>
        <v>11708.257693540616</v>
      </c>
      <c r="D22" s="19"/>
    </row>
    <row r="23" spans="1:5" x14ac:dyDescent="0.2">
      <c r="B23" s="19"/>
      <c r="C23" s="19"/>
      <c r="D23" s="19"/>
    </row>
    <row r="24" spans="1:5" x14ac:dyDescent="0.2">
      <c r="A24" s="7"/>
      <c r="B24" s="8"/>
      <c r="C24" s="8"/>
      <c r="D24" s="8"/>
    </row>
    <row r="25" spans="1:5" x14ac:dyDescent="0.2">
      <c r="A25" s="11" t="s">
        <v>45</v>
      </c>
      <c r="B25" s="8"/>
      <c r="C25" s="8"/>
      <c r="D25" s="8"/>
    </row>
    <row r="26" spans="1:5" x14ac:dyDescent="0.2">
      <c r="A26" s="9" t="s">
        <v>49</v>
      </c>
      <c r="B26" s="19">
        <v>79000</v>
      </c>
      <c r="C26" s="19"/>
      <c r="D26" s="19"/>
    </row>
    <row r="27" spans="1:5" x14ac:dyDescent="0.2">
      <c r="A27" s="31" t="s">
        <v>67</v>
      </c>
      <c r="B27" s="19">
        <f>B20*0.2</f>
        <v>46833.030774162464</v>
      </c>
      <c r="C27" s="19">
        <f>C20*0.2</f>
        <v>46833.030774162464</v>
      </c>
      <c r="D27" s="19">
        <f>D20*0.2</f>
        <v>46833.030774162464</v>
      </c>
    </row>
    <row r="28" spans="1:5" x14ac:dyDescent="0.2">
      <c r="A28" t="s">
        <v>145</v>
      </c>
      <c r="B28" s="8"/>
      <c r="C28" s="8"/>
      <c r="D28" s="8"/>
    </row>
    <row r="29" spans="1:5" x14ac:dyDescent="0.2">
      <c r="B29" s="8"/>
      <c r="C29" s="8"/>
      <c r="D29" s="8"/>
    </row>
    <row r="30" spans="1:5" x14ac:dyDescent="0.2">
      <c r="B30" s="8"/>
      <c r="C30" s="8"/>
      <c r="D30" s="8"/>
    </row>
    <row r="31" spans="1:5" x14ac:dyDescent="0.2">
      <c r="B31" s="8"/>
      <c r="C31" s="8"/>
      <c r="D31" s="8"/>
    </row>
    <row r="32" spans="1:5" x14ac:dyDescent="0.2">
      <c r="B32" s="8"/>
      <c r="C32" s="8"/>
      <c r="D32" s="8"/>
    </row>
    <row r="33" spans="1:5" x14ac:dyDescent="0.2">
      <c r="A33" s="10" t="s">
        <v>46</v>
      </c>
      <c r="B33" s="8"/>
      <c r="C33" s="8"/>
      <c r="D33" s="8"/>
    </row>
    <row r="34" spans="1:5" x14ac:dyDescent="0.2">
      <c r="A34" s="9" t="s">
        <v>149</v>
      </c>
      <c r="B34" s="19">
        <v>750000</v>
      </c>
      <c r="C34" s="19"/>
      <c r="D34" s="19"/>
    </row>
    <row r="35" spans="1:5" x14ac:dyDescent="0.2">
      <c r="B35" s="19"/>
      <c r="C35" s="19"/>
      <c r="D35" s="19"/>
    </row>
    <row r="36" spans="1:5" x14ac:dyDescent="0.2">
      <c r="A36" s="9"/>
      <c r="B36" s="19"/>
      <c r="C36" s="19"/>
      <c r="D36" s="19"/>
    </row>
    <row r="37" spans="1:5" x14ac:dyDescent="0.2">
      <c r="A37" s="18" t="s">
        <v>95</v>
      </c>
      <c r="B37" s="32">
        <f>SUM(B18:B34)</f>
        <v>1109998.1846449748</v>
      </c>
      <c r="C37" s="32">
        <f>SUM(C18:C34)</f>
        <v>292706.44233851536</v>
      </c>
      <c r="D37" s="32">
        <f>SUM(D18:D34)</f>
        <v>280998.18464497477</v>
      </c>
      <c r="E37" s="37">
        <f>SUM(B37:D37)</f>
        <v>1683702.8116284648</v>
      </c>
    </row>
    <row r="38" spans="1:5" x14ac:dyDescent="0.2">
      <c r="A38" s="9"/>
      <c r="B38" s="19"/>
      <c r="C38" s="19"/>
      <c r="D38" s="19"/>
    </row>
    <row r="39" spans="1:5" x14ac:dyDescent="0.2">
      <c r="A39" s="31" t="s">
        <v>42</v>
      </c>
      <c r="B39" s="43">
        <f>B17-B37</f>
        <v>-1042498.1846449748</v>
      </c>
      <c r="C39" s="43">
        <f>C17-C37</f>
        <v>-90206.442338515364</v>
      </c>
      <c r="D39" s="43">
        <f>D17-D37</f>
        <v>259001.81535502523</v>
      </c>
      <c r="E39" s="37">
        <f>SUM(B39:D39)</f>
        <v>-873702.81162846484</v>
      </c>
    </row>
    <row r="40" spans="1:5" x14ac:dyDescent="0.2">
      <c r="B40" s="6"/>
      <c r="C40" s="6"/>
      <c r="D40" s="6"/>
    </row>
    <row r="41" spans="1:5" x14ac:dyDescent="0.2">
      <c r="A41" s="18" t="s">
        <v>48</v>
      </c>
      <c r="B41" s="34">
        <f>B39/B13</f>
        <v>-15.444417550295922</v>
      </c>
      <c r="C41" s="34">
        <f>C39/C13</f>
        <v>-0.4454639127827919</v>
      </c>
      <c r="D41" s="34">
        <f>D39/D13</f>
        <v>0.47963299139819487</v>
      </c>
    </row>
    <row r="42" spans="1:5" x14ac:dyDescent="0.2">
      <c r="A42" s="44" t="s">
        <v>95</v>
      </c>
      <c r="B42" s="6"/>
      <c r="C42" s="6"/>
      <c r="D42" s="36">
        <f>SUM(B39:D39)</f>
        <v>-873702.81162846484</v>
      </c>
    </row>
  </sheetData>
  <mergeCells count="2">
    <mergeCell ref="C2:D2"/>
    <mergeCell ref="B1:D1"/>
  </mergeCells>
  <conditionalFormatting sqref="B37:D37">
    <cfRule type="cellIs" dxfId="1" priority="2" operator="lessThan">
      <formula>0</formula>
    </cfRule>
  </conditionalFormatting>
  <conditionalFormatting sqref="B39:D39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5" sqref="B15"/>
    </sheetView>
  </sheetViews>
  <sheetFormatPr defaultRowHeight="12.75" x14ac:dyDescent="0.2"/>
  <cols>
    <col min="1" max="1" width="16.140625" bestFit="1" customWidth="1"/>
    <col min="2" max="2" width="210.5703125" bestFit="1" customWidth="1"/>
  </cols>
  <sheetData>
    <row r="1" spans="1:2" x14ac:dyDescent="0.2">
      <c r="A1" s="46" t="s">
        <v>114</v>
      </c>
      <c r="B1" s="7"/>
    </row>
    <row r="2" spans="1:2" x14ac:dyDescent="0.2">
      <c r="A2" s="46" t="s">
        <v>115</v>
      </c>
      <c r="B2" s="7" t="s">
        <v>116</v>
      </c>
    </row>
    <row r="3" spans="1:2" x14ac:dyDescent="0.2">
      <c r="A3" s="46" t="s">
        <v>106</v>
      </c>
      <c r="B3" s="7" t="s">
        <v>119</v>
      </c>
    </row>
    <row r="4" spans="1:2" x14ac:dyDescent="0.2">
      <c r="A4" s="46" t="s">
        <v>120</v>
      </c>
      <c r="B4" s="7" t="s">
        <v>121</v>
      </c>
    </row>
    <row r="5" spans="1:2" x14ac:dyDescent="0.2">
      <c r="A5" s="46" t="s">
        <v>117</v>
      </c>
      <c r="B5" s="7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J24" sqref="J24"/>
    </sheetView>
  </sheetViews>
  <sheetFormatPr defaultRowHeight="12.75" x14ac:dyDescent="0.2"/>
  <cols>
    <col min="1" max="1" width="15.28515625" bestFit="1" customWidth="1"/>
    <col min="2" max="2" width="13.28515625" bestFit="1" customWidth="1"/>
    <col min="3" max="4" width="13.85546875" bestFit="1" customWidth="1"/>
    <col min="5" max="5" width="17.28515625" bestFit="1" customWidth="1"/>
    <col min="6" max="7" width="13.140625" bestFit="1" customWidth="1"/>
    <col min="8" max="8" width="22.85546875" customWidth="1"/>
    <col min="9" max="10" width="13.85546875" bestFit="1" customWidth="1"/>
  </cols>
  <sheetData>
    <row r="1" spans="1:12" x14ac:dyDescent="0.2">
      <c r="A1" s="52" t="s">
        <v>174</v>
      </c>
      <c r="B1" s="52" t="s">
        <v>157</v>
      </c>
      <c r="C1" s="52" t="s">
        <v>160</v>
      </c>
      <c r="D1" s="52" t="s">
        <v>161</v>
      </c>
      <c r="E1" s="52" t="s">
        <v>162</v>
      </c>
    </row>
    <row r="2" spans="1:12" x14ac:dyDescent="0.2">
      <c r="A2" s="52" t="s">
        <v>173</v>
      </c>
      <c r="B2" s="52" t="s">
        <v>158</v>
      </c>
      <c r="C2" s="52" t="s">
        <v>159</v>
      </c>
      <c r="D2" s="52" t="s">
        <v>153</v>
      </c>
      <c r="E2" s="52" t="s">
        <v>166</v>
      </c>
    </row>
    <row r="3" spans="1:12" x14ac:dyDescent="0.2">
      <c r="A3" s="87" t="s">
        <v>66</v>
      </c>
      <c r="B3" s="88"/>
      <c r="C3" s="52" t="s">
        <v>163</v>
      </c>
      <c r="D3" s="52" t="s">
        <v>164</v>
      </c>
      <c r="E3" s="52" t="s">
        <v>165</v>
      </c>
      <c r="H3" s="55"/>
      <c r="I3" s="55"/>
      <c r="J3" s="55"/>
      <c r="K3" s="55"/>
      <c r="L3" s="55"/>
    </row>
    <row r="4" spans="1:12" x14ac:dyDescent="0.2">
      <c r="A4" s="87" t="s">
        <v>167</v>
      </c>
      <c r="B4" s="88"/>
      <c r="C4" s="52" t="s">
        <v>168</v>
      </c>
      <c r="D4" s="52" t="s">
        <v>169</v>
      </c>
      <c r="E4" s="52" t="s">
        <v>170</v>
      </c>
      <c r="H4" s="55"/>
      <c r="I4" s="55"/>
      <c r="J4" s="55"/>
      <c r="K4" s="55"/>
      <c r="L4" s="55"/>
    </row>
    <row r="5" spans="1:12" x14ac:dyDescent="0.2">
      <c r="H5" s="36"/>
      <c r="I5" s="36"/>
      <c r="J5" s="36"/>
      <c r="K5" s="36"/>
      <c r="L5" s="36"/>
    </row>
    <row r="6" spans="1:12" x14ac:dyDescent="0.2">
      <c r="H6" s="36"/>
      <c r="I6" s="36"/>
      <c r="J6" s="36"/>
      <c r="K6" s="36"/>
      <c r="L6" s="55"/>
    </row>
    <row r="7" spans="1:12" x14ac:dyDescent="0.2">
      <c r="H7" s="36"/>
      <c r="I7" s="36"/>
      <c r="J7" s="36"/>
      <c r="K7" s="36"/>
      <c r="L7" s="36"/>
    </row>
    <row r="8" spans="1:12" x14ac:dyDescent="0.2">
      <c r="H8" s="36"/>
      <c r="I8" s="36"/>
      <c r="J8" s="36"/>
      <c r="K8" s="36"/>
      <c r="L8" s="36"/>
    </row>
    <row r="9" spans="1:12" x14ac:dyDescent="0.2">
      <c r="H9" s="36"/>
      <c r="I9" s="36"/>
      <c r="J9" s="36"/>
      <c r="K9" s="36"/>
      <c r="L9" s="55"/>
    </row>
    <row r="10" spans="1:12" x14ac:dyDescent="0.2">
      <c r="H10" s="36"/>
      <c r="I10" s="36"/>
      <c r="J10" s="36"/>
      <c r="K10" s="36"/>
      <c r="L10" s="55"/>
    </row>
    <row r="11" spans="1:12" x14ac:dyDescent="0.2">
      <c r="H11" s="36"/>
      <c r="I11" s="36"/>
      <c r="J11" s="36"/>
      <c r="K11" s="36"/>
      <c r="L11" s="36"/>
    </row>
    <row r="12" spans="1:12" x14ac:dyDescent="0.2">
      <c r="H12" s="36"/>
      <c r="I12" s="36"/>
      <c r="J12" s="36"/>
      <c r="K12" s="36"/>
      <c r="L12" s="55"/>
    </row>
    <row r="13" spans="1:12" x14ac:dyDescent="0.2">
      <c r="H13" s="36"/>
      <c r="I13" s="36"/>
      <c r="J13" s="36"/>
      <c r="K13" s="36"/>
      <c r="L13" s="36"/>
    </row>
  </sheetData>
  <mergeCells count="2">
    <mergeCell ref="A3:B3"/>
    <mergeCell ref="A4:B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Notes</vt:lpstr>
      <vt:lpstr>Budget Worksheet</vt:lpstr>
      <vt:lpstr>Budget Calculator</vt:lpstr>
      <vt:lpstr>Budget</vt:lpstr>
      <vt:lpstr>ROI Conservative</vt:lpstr>
      <vt:lpstr>ROI Stretch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Stringer, Elizabeth</dc:creator>
  <cp:lastModifiedBy>GHC22</cp:lastModifiedBy>
  <cp:lastPrinted>2008-04-21T17:23:56Z</cp:lastPrinted>
  <dcterms:created xsi:type="dcterms:W3CDTF">1996-10-14T23:33:28Z</dcterms:created>
  <dcterms:modified xsi:type="dcterms:W3CDTF">2015-09-16T16:04:15Z</dcterms:modified>
</cp:coreProperties>
</file>